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kkeen/Downloads/Fwd__M&amp;E_Plan_templates/"/>
    </mc:Choice>
  </mc:AlternateContent>
  <bookViews>
    <workbookView xWindow="0" yWindow="460" windowWidth="27520" windowHeight="13540"/>
  </bookViews>
  <sheets>
    <sheet name="Sheet1" sheetId="1" r:id="rId1"/>
    <sheet name="Sheet2" sheetId="2" r:id="rId2"/>
  </sheets>
  <calcPr calcId="15251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M74" i="1" l="1"/>
  <c r="J20" i="1"/>
  <c r="I20" i="1"/>
  <c r="H20" i="1"/>
  <c r="C5" i="2"/>
  <c r="M67" i="1"/>
  <c r="H2" i="1"/>
  <c r="M68" i="1"/>
  <c r="C6" i="2"/>
  <c r="B5" i="2"/>
  <c r="G11" i="2"/>
  <c r="E11" i="2"/>
  <c r="C11" i="2"/>
  <c r="G9" i="2"/>
  <c r="E9" i="2"/>
  <c r="C9" i="2"/>
  <c r="F9" i="2"/>
  <c r="D9" i="2"/>
  <c r="B9" i="2"/>
  <c r="G8" i="2"/>
  <c r="E8" i="2"/>
  <c r="C8" i="2"/>
  <c r="F8" i="2"/>
  <c r="D8" i="2"/>
  <c r="B8" i="2"/>
  <c r="G7" i="2"/>
  <c r="E7" i="2"/>
  <c r="C7" i="2"/>
  <c r="F7" i="2"/>
  <c r="D7" i="2"/>
  <c r="B7" i="2"/>
  <c r="D6" i="2"/>
  <c r="B6" i="2"/>
  <c r="E6" i="2"/>
  <c r="F6" i="2"/>
  <c r="G6" i="2"/>
  <c r="E10" i="2"/>
  <c r="D10" i="2"/>
  <c r="H8" i="2"/>
  <c r="B10" i="2"/>
  <c r="C10" i="2"/>
  <c r="C12" i="2"/>
  <c r="H6" i="2"/>
  <c r="G10" i="2"/>
  <c r="H11" i="2"/>
  <c r="F10" i="2"/>
  <c r="H7" i="2"/>
  <c r="H9" i="2"/>
  <c r="H10" i="2"/>
  <c r="J2" i="1"/>
  <c r="I2" i="1"/>
  <c r="L53" i="1"/>
  <c r="G50" i="1"/>
  <c r="H50" i="1"/>
  <c r="C13" i="2"/>
  <c r="G60" i="1"/>
  <c r="I60" i="1"/>
  <c r="J46" i="1"/>
  <c r="I46" i="1"/>
  <c r="H46" i="1"/>
  <c r="K57" i="1"/>
  <c r="L57" i="1"/>
  <c r="H33" i="1"/>
  <c r="I27" i="1"/>
  <c r="J27" i="1"/>
  <c r="H27" i="1"/>
  <c r="K29" i="1"/>
  <c r="L29" i="1"/>
  <c r="H13" i="2"/>
  <c r="C15" i="2"/>
  <c r="J60" i="1"/>
  <c r="J50" i="1"/>
  <c r="G13" i="2"/>
  <c r="M60" i="1"/>
  <c r="M46" i="1"/>
  <c r="I50" i="1"/>
  <c r="E13" i="2"/>
  <c r="L27" i="1"/>
  <c r="M50" i="1"/>
  <c r="M70" i="1"/>
  <c r="I25" i="1"/>
  <c r="J25" i="1"/>
  <c r="H25" i="1"/>
  <c r="H24" i="1"/>
  <c r="L25" i="1"/>
  <c r="K48" i="1"/>
  <c r="J33" i="1"/>
  <c r="G5" i="2"/>
  <c r="I33" i="1"/>
  <c r="E5" i="2"/>
  <c r="E12" i="2"/>
  <c r="G15" i="2"/>
  <c r="G12" i="2"/>
  <c r="H12" i="2"/>
  <c r="E15" i="2"/>
  <c r="H5" i="2"/>
  <c r="L48" i="1"/>
  <c r="K63" i="1"/>
  <c r="L63" i="1"/>
  <c r="K58" i="1"/>
  <c r="L58" i="1"/>
  <c r="G55" i="1"/>
  <c r="K45" i="1"/>
  <c r="L45" i="1"/>
  <c r="K40" i="1"/>
  <c r="L40" i="1"/>
  <c r="K37" i="1"/>
  <c r="L37" i="1"/>
  <c r="K30" i="1"/>
  <c r="L30" i="1"/>
  <c r="K22" i="1"/>
  <c r="L22" i="1"/>
  <c r="K62" i="1"/>
  <c r="L62" i="1"/>
  <c r="K39" i="1"/>
  <c r="L39" i="1"/>
  <c r="K44" i="1"/>
  <c r="L44" i="1"/>
  <c r="L24" i="1"/>
  <c r="L20" i="1"/>
  <c r="K21" i="1"/>
  <c r="L21" i="1"/>
  <c r="K36" i="1"/>
  <c r="L36" i="1"/>
  <c r="L33" i="1"/>
  <c r="K52" i="1"/>
  <c r="K61" i="1"/>
  <c r="H15" i="2"/>
  <c r="M69" i="1"/>
  <c r="M71" i="1"/>
  <c r="G51" i="1"/>
  <c r="G42" i="1"/>
  <c r="G18" i="1"/>
  <c r="G34" i="1"/>
  <c r="M75" i="1"/>
</calcChain>
</file>

<file path=xl/sharedStrings.xml><?xml version="1.0" encoding="utf-8"?>
<sst xmlns="http://schemas.openxmlformats.org/spreadsheetml/2006/main" count="109" uniqueCount="83">
  <si>
    <t xml:space="preserve">Activity 1.1. Identify or recruit core resources. </t>
  </si>
  <si>
    <t>Outcome: National health information systems are strengthened and sustained through rollout and maintenance of DHIS 2</t>
  </si>
  <si>
    <t>Activity 1.2. Set up technical infrastructure, acquire equipment and office space</t>
  </si>
  <si>
    <t>TOTAL TA</t>
  </si>
  <si>
    <t>Activity 2.1 Minimum generic DHIS2 rolled out</t>
  </si>
  <si>
    <t>One-time cost</t>
  </si>
  <si>
    <t>Recurring cost</t>
  </si>
  <si>
    <t>Activity 1.4. Training of the Country team</t>
  </si>
  <si>
    <t>Other costs</t>
  </si>
  <si>
    <t>Costs</t>
  </si>
  <si>
    <t>For TA remote: $700 rate</t>
  </si>
  <si>
    <t>TA days remote</t>
  </si>
  <si>
    <t>TA days on-site</t>
  </si>
  <si>
    <t>Output 1: DHIS2 Country team</t>
  </si>
  <si>
    <t>Output 5. Quality assurance and supervision</t>
  </si>
  <si>
    <t>Output 3: DHIS 2 User Training</t>
  </si>
  <si>
    <t>Activity 3.1 Training of trainers</t>
  </si>
  <si>
    <t>Activity 4.1 Server management support</t>
  </si>
  <si>
    <t>Activity 3.2 End user training and material development</t>
  </si>
  <si>
    <t>Remote regional TA support for server administration.</t>
  </si>
  <si>
    <t>Activity 1.3. Establish regular meeting arenas (governance) with MoH</t>
  </si>
  <si>
    <t>The training of DCT will be on-going to make sure the team learns new components of DHIS2 and stay up to date with the new releases and changes. Recommended are 5 day training seminars - 3 rounds Y1, 2 rounds Y2 and Y3.  Regional or global TA includes 2 preparation days (1 in-country and 1 remote = 7 days in total)</t>
  </si>
  <si>
    <t>For TA on-site: Assume a rate of 1200 per day that includes TA (700 USD) + travel costs (flights and per diem)</t>
  </si>
  <si>
    <t>Identify a DHIS2 Country Team that will be responsible for the day-to-day maintenance and further development of the national DHIS2 system. These resources can be screened by regional TA. The core team should consist of four people with the following competencies: IT Technician, database manager, data manager and public health expert. Team of 4 people with salaries or top-up. Average cost is 1000 USD per month per staff.</t>
  </si>
  <si>
    <t>Meeting event costs.</t>
  </si>
  <si>
    <t>Important to include all teams, e.g. malaria, HMIS, M&amp;E etc.</t>
  </si>
  <si>
    <t>This is the process of sustaining a good system design over time, making sure the DHIS 2 system develops in a health way, is updated frequently, responds to user needs and maintains a solid and robust design over time. This includes making sure the system responds to basic user needs in terms of data collection, data quality checks,  data analysis and presentations, and is sustained as a relevant system to all key health programs and levels of the health system (facility/community to central).</t>
  </si>
  <si>
    <t>Activity 2.2 Expanding DHIS 2: Integration of other modules or functional areas</t>
  </si>
  <si>
    <t>It is recommended that each of the country team members attend 2 regional academies a year to get high quality training in DHIS 2, become part of a community of DHIS 2 experts, and stay updated on the latest developments and functionalities in the DHIS 2 system. Participation in a regional academy costs approximately $3 500 per participant for a regional flight, 1 week per diem, and the academy fee.</t>
  </si>
  <si>
    <t>Output 2: DHIS2 Core system strengthened and maintained</t>
  </si>
  <si>
    <t>Virtual server hosting costs</t>
  </si>
  <si>
    <t>This will primarily involve DHIS2 quarterly data quality workshops in country where information users come together to assess the quality of the data and learn how DHIS2 can support the process of improving data quality. It is recommended to organize this activity both at the national and lower levels. This activity is scheduled for year 2 and 3 to allow for the first year to focus on establishing the information system and securing good data coverage. The regional TA is to help develop the materials and to kickstart the program together with the country team.</t>
  </si>
  <si>
    <t>An assessment needs to establish the needs for hardware. Desktops, laptops, tablets, mobile phones all have different qualities, and a mix of different technologies will need to be supported. Server and hosting alternatives needs to be critically examined with regards to capacity, infrastructural constraints, legal framework, security and confidentiality issues. Internet connection for all users will be needed.</t>
  </si>
  <si>
    <t>This is flexible and can be expanded in many directions as the country implementation and local capacity matures. All expansions depend on a solid foundation, the core system, which is secured and maintained in activity 2.1. Expansions  should be added step by step to make sure the system remains stable, the country team is not overburdended,  and not to risk a collapse of system.  Example expansions can be to embed specialised functionality for health programs with tailored analysis, more detailed data collection, and moving to event/case and patient level data. Other common expansions are integration of LMIS functionality and interoperability with more specialised LMIS systems, , moving to community health reporting, or use of android apps for mobile phones or tablets. These extensions typically require technical assistance beyond the country team, typically from regional experts, and new features and requests might also require development and documentation of these modules centrally. TA days wil depend on the complexity of the expansion, but approximately 25 onsite and 25 remote days per module in the first year (new country team) and gradually less in year 2 and 3.</t>
  </si>
  <si>
    <t>YEAR 3</t>
  </si>
  <si>
    <t>YEAR 2</t>
  </si>
  <si>
    <t>YEAR 1</t>
  </si>
  <si>
    <t>Event costs (per diem, travel, venue etc. for participants)</t>
  </si>
  <si>
    <t xml:space="preserve">To train and maintain a good cadre of DHIS 2 users at clinic and district level across the country and over time as the system is expanding and evolving will require a cascading approach, a training of trainers program. The country team with initial support of the regional TA should develop and conduct Training of trainers/super-users (“ToT”) types of programmes to ensure enough skilled local capacity in the country to take care of end-user support and training. We recommended several rounds of 3 day ToT seminars - 2 rounds Y1, 1 rounds Y2 and 1 round Y3. The regional TA is to help develop the training curriculum and to kickstart the program together with the country team. </t>
  </si>
  <si>
    <t>Unit costs</t>
  </si>
  <si>
    <t>Training event cost per participant per day (transport, venue, hotel, per diem)</t>
  </si>
  <si>
    <t>Participants:</t>
  </si>
  <si>
    <t>TOTAL USD (for support)</t>
  </si>
  <si>
    <t>Local event costs</t>
  </si>
  <si>
    <t>Materials for each end-user training in each country needs to be adapted and customized. The end-user training itself can be done by the country team but regional and central TA can help with material development, documentation and translation for the trainings. We recommended several rounds of 3 day end user training seminars -and minimum 1 round of training per yearm to account for new functinality and expansions and new DHIS 2 users.</t>
  </si>
  <si>
    <t>TOTAL costs for 3-YEAR IMPLEMENTATION PLAN (local event costs)</t>
  </si>
  <si>
    <t>Modify as needed.</t>
  </si>
  <si>
    <t>End users (all users of the system)</t>
  </si>
  <si>
    <t>Data review participants (at all levels)</t>
  </si>
  <si>
    <t>For one  new "module" every year. Multiply days per extra module.</t>
  </si>
  <si>
    <t>Output 4: DHIS2 Server hosting and maintenance</t>
  </si>
  <si>
    <t>Activity 5.1 Data quality assessment and review</t>
  </si>
  <si>
    <t xml:space="preserve">Activity 1.5. Attend regional DHIS 2 Academy to build capacity in DHIS2 </t>
  </si>
  <si>
    <t>Funded by other sources / donors</t>
  </si>
  <si>
    <t>Remaining budget</t>
  </si>
  <si>
    <t>Fill in where applicable</t>
  </si>
  <si>
    <t>TOTAL costs for 3-YEAR IMPLEMENTATION PLAN (country team)</t>
  </si>
  <si>
    <t>TOTAL costs for 3-YEAR IMPLEMENTATION PLAN (TA support)</t>
  </si>
  <si>
    <t>Activity 5.2 Implementation (formative) evaluation, strategic advisory and documenting best practices</t>
  </si>
  <si>
    <t>This regional and global TA will provide strategic guidance/advice to the continuous process of evaluation and updated plans.  The TA personnel will actively participate in the end of the year evaluation and planning meetings with all stakeholders. Recommended TA is 2 x people x 1 trip x 5 days per year (10 days) and 10 remote days for preparations, reporting and providing input to the documentation of best practices and the continuous evaluation and planning process.</t>
  </si>
  <si>
    <t>Server and support services</t>
  </si>
  <si>
    <t>Year 1</t>
  </si>
  <si>
    <t>Year 2</t>
  </si>
  <si>
    <t>Year 3</t>
  </si>
  <si>
    <t>TA days</t>
  </si>
  <si>
    <t>Cost</t>
  </si>
  <si>
    <t>Country team</t>
  </si>
  <si>
    <t>TA: Quality assessments/evaluation</t>
  </si>
  <si>
    <t>TA: Training</t>
  </si>
  <si>
    <t>TA: core system strengthening</t>
  </si>
  <si>
    <t>TA: additional modules/expansions</t>
  </si>
  <si>
    <t>TA: Total</t>
  </si>
  <si>
    <t>Local training costs</t>
  </si>
  <si>
    <t>Server costs</t>
  </si>
  <si>
    <t>Cost all years</t>
  </si>
  <si>
    <t>TOTAL costs for 3-YEAR IMPLEMENTATION PLAN (Server support)</t>
  </si>
  <si>
    <t>TOTAL costs for 3-YEAR IMPLEMENTATION PLAN</t>
  </si>
  <si>
    <t>Total support cost</t>
  </si>
  <si>
    <t>Total grant sum</t>
  </si>
  <si>
    <t>Country team monthly salary</t>
  </si>
  <si>
    <t>Budget summary</t>
  </si>
  <si>
    <t>DHIS2 Maintenance and Strengthening Costing Tool</t>
  </si>
  <si>
    <t>Last updated: 02 June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</si>
</sst>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8" x14ac:knownFonts="1">
    <font>
      <sz val="11"/>
      <color theme="1"/>
      <name val="Calibri"/>
      <family val="2"/>
      <scheme val="minor"/>
    </font>
    <font>
      <sz val="11"/>
      <color theme="1"/>
      <name val="Calibri"/>
      <family val="2"/>
      <scheme val="minor"/>
    </font>
    <font>
      <sz val="11"/>
      <color theme="0"/>
      <name val="Calibri"/>
      <family val="2"/>
      <scheme val="minor"/>
    </font>
    <font>
      <sz val="16"/>
      <color theme="1"/>
      <name val="Calibri"/>
      <family val="2"/>
      <scheme val="minor"/>
    </font>
    <font>
      <b/>
      <sz val="11"/>
      <color theme="1"/>
      <name val="Calibri"/>
      <family val="2"/>
      <scheme val="minor"/>
    </font>
    <font>
      <b/>
      <sz val="12"/>
      <color theme="1"/>
      <name val="Calibri"/>
      <family val="2"/>
      <scheme val="minor"/>
    </font>
    <font>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rgb="FFFFFF00"/>
        <bgColor indexed="64"/>
      </patternFill>
    </fill>
    <fill>
      <patternFill patternType="solid">
        <fgColor theme="8" tint="0.39997558519241921"/>
        <bgColor indexed="65"/>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7">
    <xf numFmtId="0" fontId="0" fillId="0" borderId="0"/>
    <xf numFmtId="0" fontId="1"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164" fontId="1" fillId="0" borderId="0" applyFont="0" applyFill="0" applyBorder="0" applyAlignment="0" applyProtection="0"/>
    <xf numFmtId="0" fontId="2" fillId="7" borderId="0" applyNumberFormat="0" applyBorder="0" applyAlignment="0" applyProtection="0"/>
  </cellStyleXfs>
  <cellXfs count="83">
    <xf numFmtId="0" fontId="0" fillId="0" borderId="0" xfId="0"/>
    <xf numFmtId="0" fontId="3" fillId="0" borderId="0" xfId="0" applyFont="1"/>
    <xf numFmtId="0" fontId="1" fillId="5" borderId="0" xfId="4"/>
    <xf numFmtId="0" fontId="0" fillId="4" borderId="0" xfId="3" applyFont="1" applyAlignment="1">
      <alignment horizontal="left"/>
    </xf>
    <xf numFmtId="0" fontId="0" fillId="0" borderId="0" xfId="0" applyFill="1"/>
    <xf numFmtId="0" fontId="0" fillId="0" borderId="0" xfId="0" applyFill="1" applyAlignment="1">
      <alignment wrapText="1"/>
    </xf>
    <xf numFmtId="0" fontId="1" fillId="5" borderId="0" xfId="4" applyAlignment="1">
      <alignment horizontal="left"/>
    </xf>
    <xf numFmtId="0" fontId="0" fillId="0" borderId="0" xfId="0" applyAlignment="1">
      <alignment wrapText="1"/>
    </xf>
    <xf numFmtId="3" fontId="0" fillId="0" borderId="0" xfId="0" applyNumberFormat="1" applyFill="1" applyAlignment="1">
      <alignment wrapText="1"/>
    </xf>
    <xf numFmtId="3" fontId="0" fillId="0" borderId="0" xfId="0" applyNumberFormat="1"/>
    <xf numFmtId="0" fontId="0" fillId="5" borderId="0" xfId="4" applyFont="1" applyAlignment="1">
      <alignment horizontal="left"/>
    </xf>
    <xf numFmtId="3" fontId="0" fillId="0" borderId="0" xfId="0" applyNumberFormat="1" applyFill="1"/>
    <xf numFmtId="0" fontId="0" fillId="5" borderId="0" xfId="4" applyFont="1" applyAlignment="1">
      <alignment horizontal="left"/>
    </xf>
    <xf numFmtId="0" fontId="1" fillId="5" borderId="0" xfId="4" applyAlignment="1">
      <alignment horizontal="left"/>
    </xf>
    <xf numFmtId="0" fontId="0" fillId="4" borderId="0" xfId="3" applyFont="1" applyAlignment="1">
      <alignment horizontal="left"/>
    </xf>
    <xf numFmtId="0" fontId="0" fillId="0" borderId="0" xfId="0" applyAlignment="1">
      <alignment horizontal="left" wrapText="1"/>
    </xf>
    <xf numFmtId="3" fontId="4" fillId="0" borderId="0" xfId="0" applyNumberFormat="1" applyFont="1"/>
    <xf numFmtId="0" fontId="4" fillId="0" borderId="0" xfId="0" applyFont="1"/>
    <xf numFmtId="0" fontId="4" fillId="0" borderId="0" xfId="0" applyFont="1" applyFill="1" applyAlignment="1">
      <alignment wrapText="1"/>
    </xf>
    <xf numFmtId="0" fontId="4" fillId="0" borderId="0" xfId="0" applyFont="1" applyFill="1"/>
    <xf numFmtId="0" fontId="0" fillId="0" borderId="0" xfId="0" applyAlignment="1"/>
    <xf numFmtId="0" fontId="0" fillId="0" borderId="0" xfId="0" applyFill="1" applyAlignment="1"/>
    <xf numFmtId="3" fontId="0" fillId="0" borderId="0" xfId="0" applyNumberFormat="1" applyAlignment="1"/>
    <xf numFmtId="0" fontId="0" fillId="0" borderId="0" xfId="0" applyNumberFormat="1"/>
    <xf numFmtId="165" fontId="0" fillId="0" borderId="0" xfId="5" applyNumberFormat="1" applyFont="1"/>
    <xf numFmtId="165" fontId="5" fillId="5" borderId="0" xfId="5" applyNumberFormat="1" applyFont="1" applyFill="1"/>
    <xf numFmtId="0" fontId="4" fillId="5" borderId="0" xfId="4" applyFont="1" applyAlignment="1">
      <alignment horizontal="left"/>
    </xf>
    <xf numFmtId="165" fontId="0" fillId="0" borderId="0" xfId="0" applyNumberFormat="1"/>
    <xf numFmtId="0" fontId="0" fillId="6" borderId="1" xfId="0" applyFill="1" applyBorder="1" applyAlignment="1">
      <alignment vertical="center" wrapText="1"/>
    </xf>
    <xf numFmtId="0" fontId="0" fillId="6" borderId="2" xfId="0" applyFill="1" applyBorder="1"/>
    <xf numFmtId="0" fontId="0" fillId="6" borderId="3" xfId="0" applyFill="1" applyBorder="1"/>
    <xf numFmtId="0" fontId="6" fillId="3" borderId="0" xfId="2" applyFont="1" applyAlignment="1">
      <alignment horizontal="left"/>
    </xf>
    <xf numFmtId="165" fontId="7" fillId="3" borderId="0" xfId="5" applyNumberFormat="1" applyFont="1" applyFill="1" applyAlignment="1">
      <alignment horizontal="right"/>
    </xf>
    <xf numFmtId="0" fontId="7" fillId="3" borderId="0" xfId="2" applyFont="1" applyAlignment="1"/>
    <xf numFmtId="0" fontId="7" fillId="3" borderId="0" xfId="2" applyFont="1" applyAlignment="1">
      <alignment horizontal="left"/>
    </xf>
    <xf numFmtId="165" fontId="0" fillId="0" borderId="0" xfId="5" applyNumberFormat="1" applyFont="1" applyFill="1" applyAlignment="1">
      <alignment wrapText="1"/>
    </xf>
    <xf numFmtId="165" fontId="0" fillId="0" borderId="0" xfId="5" applyNumberFormat="1" applyFont="1" applyFill="1"/>
    <xf numFmtId="0" fontId="0" fillId="0" borderId="2" xfId="0" applyBorder="1"/>
    <xf numFmtId="0" fontId="0" fillId="0" borderId="0" xfId="0" applyBorder="1"/>
    <xf numFmtId="0" fontId="0" fillId="0" borderId="5" xfId="0" applyBorder="1"/>
    <xf numFmtId="3" fontId="0" fillId="0" borderId="5" xfId="0" applyNumberFormat="1" applyBorder="1"/>
    <xf numFmtId="0" fontId="0" fillId="6" borderId="3" xfId="0" applyFill="1" applyBorder="1" applyAlignment="1">
      <alignment horizontal="right" wrapText="1"/>
    </xf>
    <xf numFmtId="0" fontId="1" fillId="2" borderId="2" xfId="1" applyBorder="1"/>
    <xf numFmtId="3" fontId="1" fillId="2" borderId="6" xfId="1" applyNumberFormat="1" applyBorder="1"/>
    <xf numFmtId="0" fontId="1" fillId="2" borderId="4" xfId="1" applyBorder="1"/>
    <xf numFmtId="3" fontId="1" fillId="2" borderId="4" xfId="1" applyNumberFormat="1" applyBorder="1"/>
    <xf numFmtId="0" fontId="1" fillId="4" borderId="2" xfId="3" applyBorder="1"/>
    <xf numFmtId="0" fontId="1" fillId="4" borderId="4" xfId="3" applyBorder="1"/>
    <xf numFmtId="3" fontId="1" fillId="4" borderId="4" xfId="3" applyNumberFormat="1" applyBorder="1"/>
    <xf numFmtId="0" fontId="1" fillId="5" borderId="2" xfId="4" applyBorder="1"/>
    <xf numFmtId="0" fontId="1" fillId="5" borderId="4" xfId="4" applyBorder="1"/>
    <xf numFmtId="3" fontId="1" fillId="5" borderId="4" xfId="4" applyNumberFormat="1" applyBorder="1"/>
    <xf numFmtId="0" fontId="1" fillId="8" borderId="7" xfId="1" applyFill="1" applyBorder="1"/>
    <xf numFmtId="0" fontId="2" fillId="7" borderId="8" xfId="6" applyBorder="1"/>
    <xf numFmtId="0" fontId="2" fillId="7" borderId="2" xfId="6" applyBorder="1"/>
    <xf numFmtId="3" fontId="2" fillId="7" borderId="2" xfId="6" applyNumberFormat="1" applyBorder="1"/>
    <xf numFmtId="3" fontId="2" fillId="7" borderId="6" xfId="6" applyNumberFormat="1" applyBorder="1"/>
    <xf numFmtId="0" fontId="0" fillId="0" borderId="8" xfId="0" applyBorder="1"/>
    <xf numFmtId="0" fontId="0" fillId="0" borderId="6" xfId="0" applyBorder="1"/>
    <xf numFmtId="0" fontId="1" fillId="5" borderId="8" xfId="4" applyBorder="1"/>
    <xf numFmtId="0" fontId="1" fillId="5" borderId="6" xfId="4" applyBorder="1"/>
    <xf numFmtId="0" fontId="4" fillId="0" borderId="0" xfId="0" applyFont="1" applyAlignment="1">
      <alignment vertical="top"/>
    </xf>
    <xf numFmtId="0" fontId="2" fillId="3" borderId="0" xfId="2" applyAlignment="1"/>
    <xf numFmtId="0" fontId="0" fillId="6" borderId="2" xfId="0" applyFill="1" applyBorder="1" applyAlignment="1">
      <alignment horizontal="left" wrapText="1"/>
    </xf>
    <xf numFmtId="0" fontId="0" fillId="6" borderId="3" xfId="0" applyFill="1" applyBorder="1" applyAlignment="1">
      <alignment horizontal="left" wrapText="1"/>
    </xf>
    <xf numFmtId="0" fontId="4" fillId="2" borderId="0" xfId="1" applyFont="1" applyAlignment="1">
      <alignment horizontal="center"/>
    </xf>
    <xf numFmtId="0" fontId="0" fillId="6" borderId="1" xfId="0" applyFill="1" applyBorder="1" applyAlignment="1">
      <alignment horizontal="left" vertical="top" wrapText="1"/>
    </xf>
    <xf numFmtId="0" fontId="0" fillId="0" borderId="0" xfId="0" applyAlignment="1">
      <alignment vertical="top"/>
    </xf>
    <xf numFmtId="0" fontId="0" fillId="0" borderId="0" xfId="0" applyFill="1" applyAlignment="1">
      <alignment horizontal="left" wrapText="1"/>
    </xf>
    <xf numFmtId="0" fontId="0" fillId="4" borderId="0" xfId="3" applyFont="1" applyAlignment="1">
      <alignment horizontal="left"/>
    </xf>
    <xf numFmtId="0" fontId="0" fillId="0" borderId="0" xfId="0" applyFill="1" applyAlignment="1">
      <alignment horizontal="center" wrapText="1"/>
    </xf>
    <xf numFmtId="0" fontId="4" fillId="2" borderId="0" xfId="1" applyFont="1" applyAlignment="1">
      <alignment horizontal="center" wrapText="1"/>
    </xf>
    <xf numFmtId="0" fontId="0" fillId="0" borderId="0" xfId="0" applyAlignment="1">
      <alignment horizontal="left" wrapText="1"/>
    </xf>
    <xf numFmtId="0" fontId="0" fillId="0" borderId="0" xfId="0" applyFill="1" applyAlignment="1">
      <alignment horizontal="left" vertical="top" wrapText="1"/>
    </xf>
    <xf numFmtId="0" fontId="0" fillId="0" borderId="0" xfId="3" applyFont="1" applyFill="1" applyAlignment="1">
      <alignment horizontal="left" wrapText="1"/>
    </xf>
    <xf numFmtId="0" fontId="0" fillId="0" borderId="0" xfId="0" applyAlignment="1">
      <alignment horizontal="center" vertical="center" wrapText="1"/>
    </xf>
    <xf numFmtId="0" fontId="4" fillId="0" borderId="0" xfId="0" applyFont="1" applyAlignment="1">
      <alignment horizontal="left"/>
    </xf>
    <xf numFmtId="0" fontId="0" fillId="9" borderId="0" xfId="0" applyFill="1" applyAlignment="1">
      <alignment horizontal="center"/>
    </xf>
    <xf numFmtId="0" fontId="4" fillId="5" borderId="0" xfId="4" applyFont="1" applyAlignment="1">
      <alignment horizontal="left"/>
    </xf>
    <xf numFmtId="3" fontId="4" fillId="2" borderId="0" xfId="1" applyNumberFormat="1" applyFont="1" applyAlignment="1">
      <alignment horizontal="center" wrapText="1"/>
    </xf>
    <xf numFmtId="0" fontId="0" fillId="0" borderId="8" xfId="0" applyBorder="1" applyAlignment="1">
      <alignment horizontal="center"/>
    </xf>
    <xf numFmtId="0" fontId="0" fillId="0" borderId="2" xfId="0" applyBorder="1" applyAlignment="1">
      <alignment horizontal="center"/>
    </xf>
    <xf numFmtId="0" fontId="0" fillId="0" borderId="6" xfId="0" applyBorder="1" applyAlignment="1">
      <alignment horizontal="center"/>
    </xf>
  </cellXfs>
  <cellStyles count="7">
    <cellStyle name="20% - Accent1" xfId="1" builtinId="30"/>
    <cellStyle name="20% - Accent5" xfId="3" builtinId="46"/>
    <cellStyle name="40% - Accent5" xfId="4" builtinId="47"/>
    <cellStyle name="60% - Accent5" xfId="6" builtinId="48"/>
    <cellStyle name="Accent5" xfId="2" builtinId="45"/>
    <cellStyle name="Comma" xfId="5"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7" Type="http://schemas.openxmlformats.org/officeDocument/2006/relationships/customXml" Target="../customXml/item1.xml"/><Relationship Id="rId8" Type="http://schemas.openxmlformats.org/officeDocument/2006/relationships/customXml" Target="../customXml/item2.xml"/><Relationship Id="rId9" Type="http://schemas.openxmlformats.org/officeDocument/2006/relationships/customXml" Target="../customXml/item3.xml"/><Relationship Id="rId10" Type="http://schemas.openxmlformats.org/officeDocument/2006/relationships/customXml" Target="../customXml/item4.xml"/><Relationship Id="rId11" Type="http://schemas.openxmlformats.org/officeDocument/2006/relationships/customXml" Target="../customXml/item5.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91441</xdr:colOff>
      <xdr:row>4</xdr:row>
      <xdr:rowOff>7620</xdr:rowOff>
    </xdr:from>
    <xdr:to>
      <xdr:col>14</xdr:col>
      <xdr:colOff>1</xdr:colOff>
      <xdr:row>14</xdr:row>
      <xdr:rowOff>167640</xdr:rowOff>
    </xdr:to>
    <xdr:sp macro="" textlink="">
      <xdr:nvSpPr>
        <xdr:cNvPr id="3" name="TextBox 2"/>
        <xdr:cNvSpPr txBox="1"/>
      </xdr:nvSpPr>
      <xdr:spPr>
        <a:xfrm>
          <a:off x="91441" y="1150620"/>
          <a:ext cx="19960756" cy="2065020"/>
        </a:xfrm>
        <a:prstGeom prst="rect">
          <a:avLst/>
        </a:prstGeom>
        <a:solidFill>
          <a:schemeClr val="lt1"/>
        </a:solidFill>
        <a:ln w="9525" cmpd="sng">
          <a:solidFill>
            <a:schemeClr val="tx1">
              <a:lumMod val="65000"/>
              <a:lumOff val="35000"/>
              <a:alpha val="56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This activity is about developing an overall plan and budget for DHIS2 implementation, including phases and timelines, resources required (financial, infrastructure, HR, TA, etc.), expected outputs/outcomes, using a standard</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template. Every output</a:t>
          </a:r>
          <a:r>
            <a:rPr lang="nb-NO" sz="1100" b="0" i="0" u="none" strike="noStrike" baseline="0">
              <a:solidFill>
                <a:schemeClr val="dk1"/>
              </a:solidFill>
              <a:effectLst/>
              <a:latin typeface="+mn-lt"/>
              <a:ea typeface="+mn-ea"/>
              <a:cs typeface="+mn-cs"/>
            </a:rPr>
            <a:t> needs to be budgeted for and taken into consideration as it is a holistic approach to the DHIS 2 implementation.</a:t>
          </a:r>
          <a:r>
            <a:rPr lang="nb-NO" sz="1100" b="0" i="0" u="none" strike="noStrike">
              <a:solidFill>
                <a:schemeClr val="dk1"/>
              </a:solidFill>
              <a:effectLst/>
              <a:latin typeface="+mn-lt"/>
              <a:ea typeface="+mn-ea"/>
              <a:cs typeface="+mn-cs"/>
            </a:rPr>
            <a:t>  It is important to have a long term plan for developing and sustaining a national HIS,  so continuous maintenance of</a:t>
          </a:r>
          <a:r>
            <a:rPr lang="nb-NO" sz="1100" b="0" i="0" u="none" strike="noStrike" baseline="0">
              <a:solidFill>
                <a:schemeClr val="dk1"/>
              </a:solidFill>
              <a:effectLst/>
              <a:latin typeface="+mn-lt"/>
              <a:ea typeface="+mn-ea"/>
              <a:cs typeface="+mn-cs"/>
            </a:rPr>
            <a:t> the DHIS 2 core system is guaranteed. </a:t>
          </a:r>
          <a:br>
            <a:rPr lang="nb-NO" sz="1100" b="0" i="0" u="none" strike="noStrike" baseline="0">
              <a:solidFill>
                <a:schemeClr val="dk1"/>
              </a:solidFill>
              <a:effectLst/>
              <a:latin typeface="+mn-lt"/>
              <a:ea typeface="+mn-ea"/>
              <a:cs typeface="+mn-cs"/>
            </a:rPr>
          </a:br>
          <a:r>
            <a:rPr lang="nb-NO" sz="1100" b="0" i="0" u="none" strike="noStrike" baseline="0">
              <a:solidFill>
                <a:schemeClr val="dk1"/>
              </a:solidFill>
              <a:effectLst/>
              <a:latin typeface="+mn-lt"/>
              <a:ea typeface="+mn-ea"/>
              <a:cs typeface="+mn-cs"/>
            </a:rPr>
            <a:t/>
          </a:r>
          <a:br>
            <a:rPr lang="nb-NO" sz="1100" b="0" i="0" u="none" strike="noStrike" baseline="0">
              <a:solidFill>
                <a:schemeClr val="dk1"/>
              </a:solidFill>
              <a:effectLst/>
              <a:latin typeface="+mn-lt"/>
              <a:ea typeface="+mn-ea"/>
              <a:cs typeface="+mn-cs"/>
            </a:rPr>
          </a:br>
          <a:r>
            <a:rPr lang="nb-NO" baseline="0"/>
            <a:t>The vital part to a DHIS 2 implementation is to </a:t>
          </a:r>
          <a:r>
            <a:rPr lang="nb-NO" sz="1100" b="0" i="0" u="none" strike="noStrike">
              <a:solidFill>
                <a:schemeClr val="dk1"/>
              </a:solidFill>
              <a:effectLst/>
              <a:latin typeface="+mn-lt"/>
              <a:ea typeface="+mn-ea"/>
              <a:cs typeface="+mn-cs"/>
            </a:rPr>
            <a:t>Identify a DHIS2 Country Team (DCT) that will be central</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to the DHIS</a:t>
          </a:r>
          <a:r>
            <a:rPr lang="nb-NO" sz="1100" b="0" i="0" u="none" strike="noStrike" baseline="0">
              <a:solidFill>
                <a:schemeClr val="dk1"/>
              </a:solidFill>
              <a:effectLst/>
              <a:latin typeface="+mn-lt"/>
              <a:ea typeface="+mn-ea"/>
              <a:cs typeface="+mn-cs"/>
            </a:rPr>
            <a:t> 2 rollout and</a:t>
          </a:r>
          <a:r>
            <a:rPr lang="nb-NO" sz="1100" b="0" i="0" u="none" strike="noStrike">
              <a:solidFill>
                <a:schemeClr val="dk1"/>
              </a:solidFill>
              <a:effectLst/>
              <a:latin typeface="+mn-lt"/>
              <a:ea typeface="+mn-ea"/>
              <a:cs typeface="+mn-cs"/>
            </a:rPr>
            <a:t> responsible for the day-to-day maintenance and further development of the national DHIS2 system. This team will be a critical component in the long term sustainability of the system and to ensure local ownership. This team needs to be established at the beginning of the DHIS2 implementation and lead the local customization process. The team will be trained by regional or international DHIS2 experts and most training will be through learning by doing as a collaborative process between the local team and the experts. The training of this group of core implementers/system support will be on-going to make sure the team learns new components of DHIS2 and stay up to date with the new releases and changes.</a:t>
          </a:r>
          <a:r>
            <a:rPr lang="nb-NO"/>
            <a:t> </a:t>
          </a:r>
          <a:r>
            <a:rPr lang="nb-NO" sz="1100" b="0" i="0" u="none" strike="noStrike">
              <a:solidFill>
                <a:schemeClr val="dk1"/>
              </a:solidFill>
              <a:effectLst/>
              <a:latin typeface="+mn-lt"/>
              <a:ea typeface="+mn-ea"/>
              <a:cs typeface="+mn-cs"/>
            </a:rPr>
            <a:t>This is the process of turning the global, generic DHIS2 software into a local HIS system supporting the local needs</a:t>
          </a:r>
          <a:r>
            <a:rPr lang="nb-NO" sz="1100" b="0" i="0" u="none" strike="noStrike" baseline="0">
              <a:solidFill>
                <a:schemeClr val="dk1"/>
              </a:solidFill>
              <a:effectLst/>
              <a:latin typeface="+mn-lt"/>
              <a:ea typeface="+mn-ea"/>
              <a:cs typeface="+mn-cs"/>
            </a:rPr>
            <a:t> and </a:t>
          </a:r>
          <a:r>
            <a:rPr lang="nb-NO" sz="1100" b="0" i="0" u="none" strike="noStrike">
              <a:solidFill>
                <a:schemeClr val="dk1"/>
              </a:solidFill>
              <a:effectLst/>
              <a:latin typeface="+mn-lt"/>
              <a:ea typeface="+mn-ea"/>
              <a:cs typeface="+mn-cs"/>
            </a:rPr>
            <a:t>should be led by the country team with support and supervision by the regional or global experts (TA). </a:t>
          </a:r>
        </a:p>
        <a:p>
          <a:endParaRPr lang="nb-NO" sz="1100" b="0"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TA can be regional (HISP nodes like</a:t>
          </a:r>
          <a:r>
            <a:rPr lang="nb-NO" sz="1100" b="0"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HISP</a:t>
          </a:r>
          <a:r>
            <a:rPr lang="nb-NO" sz="1100" b="0" i="0" u="none" strike="noStrike" baseline="0">
              <a:solidFill>
                <a:schemeClr val="dk1"/>
              </a:solidFill>
              <a:effectLst/>
              <a:latin typeface="+mn-lt"/>
              <a:ea typeface="+mn-ea"/>
              <a:cs typeface="+mn-cs"/>
            </a:rPr>
            <a:t> West Africa, HISP East Africa, HISP South Africa, HISP Vietnam, HISP India etc.) or global (UiO). The suggested level (regional or global) of TA is specified in the activity narrative.</a:t>
          </a:r>
          <a:endParaRPr lang="nb-NO" sz="1100"/>
        </a:p>
      </xdr:txBody>
    </xdr:sp>
    <xdr:clientData/>
  </xdr:twoCellAnchor>
  <xdr:twoCellAnchor editAs="oneCell">
    <xdr:from>
      <xdr:col>0</xdr:col>
      <xdr:colOff>16567</xdr:colOff>
      <xdr:row>0</xdr:row>
      <xdr:rowOff>24847</xdr:rowOff>
    </xdr:from>
    <xdr:to>
      <xdr:col>2</xdr:col>
      <xdr:colOff>496957</xdr:colOff>
      <xdr:row>0</xdr:row>
      <xdr:rowOff>235397</xdr:rowOff>
    </xdr:to>
    <xdr:pic>
      <xdr:nvPicPr>
        <xdr:cNvPr id="6" name="Picture 5" descr="https://tgf.sharepoint.com/sites/inside/Communications%20%20Templates%20%20Logos%20Library/TheGlobalFundLogo_Color_en.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7" y="24847"/>
          <a:ext cx="1706216" cy="21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tabSelected="1" zoomScale="115" zoomScaleNormal="115" zoomScalePageLayoutView="115" workbookViewId="0">
      <selection activeCell="L20" sqref="L20"/>
    </sheetView>
  </sheetViews>
  <sheetFormatPr baseColWidth="10" defaultColWidth="8.83203125" defaultRowHeight="15" x14ac:dyDescent="0.2"/>
  <cols>
    <col min="3" max="3" width="12.6640625" customWidth="1"/>
    <col min="5" max="5" width="91.6640625" customWidth="1"/>
    <col min="6" max="6" width="28.83203125" customWidth="1"/>
    <col min="7" max="7" width="13.33203125" customWidth="1"/>
    <col min="8" max="10" width="10.1640625" customWidth="1"/>
    <col min="11" max="13" width="19.5" customWidth="1"/>
    <col min="14" max="14" width="37.33203125" customWidth="1"/>
  </cols>
  <sheetData>
    <row r="1" spans="1:18" ht="39" customHeight="1" x14ac:dyDescent="0.2">
      <c r="A1" s="76" t="s">
        <v>82</v>
      </c>
      <c r="B1" s="76"/>
      <c r="C1" s="76"/>
      <c r="D1" s="76"/>
      <c r="E1" s="76"/>
      <c r="F1" s="76"/>
      <c r="G1" s="76"/>
      <c r="H1" s="76"/>
      <c r="I1" s="76"/>
      <c r="J1" s="76"/>
      <c r="K1" s="76"/>
      <c r="L1" s="76"/>
      <c r="M1" s="76"/>
      <c r="N1" s="76"/>
      <c r="O1" s="61"/>
      <c r="P1" s="61"/>
      <c r="Q1" s="61"/>
      <c r="R1" s="61"/>
    </row>
    <row r="2" spans="1:18" s="1" customFormat="1" ht="21" x14ac:dyDescent="0.25">
      <c r="A2" s="1" t="s">
        <v>81</v>
      </c>
      <c r="H2" s="1">
        <f>SUM(H29:H30)+SUM(H36:H37)+SUM(H39:H40)+SUM(H44:H45)+H48+SUM(H57:H58)+SUM(H62:H63)+H21+H22</f>
        <v>191</v>
      </c>
      <c r="I2" s="1">
        <f>SUM(I29:I30)+SUM(I36:I37)+SUM(I39:I40)+SUM(I44:I45)+I48+SUM(I57:I58)+SUM(I62:I63)</f>
        <v>136</v>
      </c>
      <c r="J2" s="1">
        <f>SUM(J29:J30)+SUM(J36:J37)+SUM(J39:J40)+SUM(J44:J45)+J48+SUM(J62:J63)+SUM(J57:J58)</f>
        <v>90</v>
      </c>
    </row>
    <row r="3" spans="1:18" x14ac:dyDescent="0.2">
      <c r="A3" s="62" t="s">
        <v>1</v>
      </c>
      <c r="B3" s="62"/>
      <c r="C3" s="62"/>
      <c r="D3" s="62"/>
      <c r="E3" s="62"/>
      <c r="F3" s="62"/>
      <c r="G3" s="62"/>
      <c r="H3" s="62"/>
      <c r="I3" s="62"/>
      <c r="J3" s="62"/>
      <c r="K3" t="s">
        <v>22</v>
      </c>
    </row>
    <row r="4" spans="1:18" x14ac:dyDescent="0.2">
      <c r="K4" t="s">
        <v>10</v>
      </c>
    </row>
    <row r="16" spans="1:18" x14ac:dyDescent="0.2">
      <c r="A16" s="77"/>
      <c r="B16" s="77"/>
      <c r="C16" s="77"/>
      <c r="D16" s="77"/>
      <c r="E16" s="77"/>
      <c r="F16" s="77"/>
      <c r="G16" s="77"/>
      <c r="H16" s="65" t="s">
        <v>36</v>
      </c>
      <c r="I16" s="65" t="s">
        <v>35</v>
      </c>
      <c r="J16" s="65" t="s">
        <v>34</v>
      </c>
      <c r="K16" s="65" t="s">
        <v>3</v>
      </c>
      <c r="L16" s="79" t="s">
        <v>42</v>
      </c>
      <c r="M16" s="71" t="s">
        <v>43</v>
      </c>
      <c r="N16" s="71" t="s">
        <v>53</v>
      </c>
    </row>
    <row r="17" spans="1:21" x14ac:dyDescent="0.2">
      <c r="A17" s="77"/>
      <c r="B17" s="77"/>
      <c r="C17" s="77"/>
      <c r="D17" s="77"/>
      <c r="E17" s="77"/>
      <c r="F17" s="77"/>
      <c r="G17" s="77"/>
      <c r="H17" s="65"/>
      <c r="I17" s="65"/>
      <c r="J17" s="65"/>
      <c r="K17" s="65"/>
      <c r="L17" s="79"/>
      <c r="M17" s="71"/>
      <c r="N17" s="71"/>
    </row>
    <row r="18" spans="1:21" ht="16" x14ac:dyDescent="0.2">
      <c r="A18" s="78" t="s">
        <v>13</v>
      </c>
      <c r="B18" s="78"/>
      <c r="C18" s="78"/>
      <c r="D18" s="78"/>
      <c r="E18" s="78"/>
      <c r="F18" s="2"/>
      <c r="G18" s="25">
        <f>SUM(L20:L33)</f>
        <v>402000</v>
      </c>
      <c r="H18" s="2"/>
      <c r="I18" s="2"/>
      <c r="J18" s="2"/>
      <c r="K18" s="2"/>
      <c r="L18" s="2"/>
      <c r="M18" s="2"/>
      <c r="N18" s="2" t="s">
        <v>55</v>
      </c>
    </row>
    <row r="19" spans="1:21" x14ac:dyDescent="0.2">
      <c r="A19" s="3" t="s">
        <v>0</v>
      </c>
      <c r="B19" s="3"/>
      <c r="C19" s="3"/>
      <c r="D19" s="3"/>
      <c r="E19" s="3"/>
      <c r="F19" s="3"/>
      <c r="G19" s="14"/>
      <c r="H19" s="3"/>
      <c r="I19" s="3"/>
      <c r="J19" s="3"/>
      <c r="K19" s="3"/>
      <c r="L19" s="3"/>
      <c r="M19" s="14"/>
      <c r="N19" s="24"/>
      <c r="O19" s="17"/>
    </row>
    <row r="20" spans="1:21" s="5" customFormat="1" ht="18.5" customHeight="1" x14ac:dyDescent="0.2">
      <c r="A20" s="74" t="s">
        <v>23</v>
      </c>
      <c r="B20" s="74"/>
      <c r="C20" s="74"/>
      <c r="D20" s="74"/>
      <c r="E20" s="74"/>
      <c r="H20" s="8">
        <f>4*6*D77</f>
        <v>48000</v>
      </c>
      <c r="I20" s="8">
        <f>4*12*D77</f>
        <v>96000</v>
      </c>
      <c r="J20" s="8">
        <f>4*12*D77</f>
        <v>96000</v>
      </c>
      <c r="K20"/>
      <c r="L20" s="8">
        <f>SUM(H20:K20)</f>
        <v>240000</v>
      </c>
      <c r="M20" s="8"/>
      <c r="N20" s="35"/>
      <c r="O20" s="18"/>
    </row>
    <row r="21" spans="1:21" ht="20" customHeight="1" x14ac:dyDescent="0.2">
      <c r="A21" s="74"/>
      <c r="B21" s="74"/>
      <c r="C21" s="74"/>
      <c r="D21" s="74"/>
      <c r="E21" s="74"/>
      <c r="F21" t="s">
        <v>12</v>
      </c>
      <c r="H21">
        <v>15</v>
      </c>
      <c r="I21" s="4"/>
      <c r="J21" s="4"/>
      <c r="K21">
        <f t="shared" ref="K21:K61" si="0">SUM(H21:J21)</f>
        <v>15</v>
      </c>
      <c r="L21" s="9">
        <f>K21*1200</f>
        <v>18000</v>
      </c>
      <c r="M21" s="9"/>
      <c r="N21" s="36"/>
      <c r="O21" s="19"/>
      <c r="P21" s="4"/>
      <c r="Q21" s="4"/>
      <c r="R21" s="4"/>
      <c r="S21" s="4"/>
    </row>
    <row r="22" spans="1:21" ht="18.5" customHeight="1" x14ac:dyDescent="0.2">
      <c r="A22" s="74"/>
      <c r="B22" s="74"/>
      <c r="C22" s="74"/>
      <c r="D22" s="74"/>
      <c r="E22" s="74"/>
      <c r="F22" t="s">
        <v>11</v>
      </c>
      <c r="H22">
        <v>5</v>
      </c>
      <c r="I22" s="4"/>
      <c r="J22" s="4"/>
      <c r="K22">
        <f>SUM(H22:J22)</f>
        <v>5</v>
      </c>
      <c r="L22" s="9">
        <f>K22*700</f>
        <v>3500</v>
      </c>
      <c r="M22" s="9"/>
      <c r="N22" s="24"/>
      <c r="O22" s="17"/>
    </row>
    <row r="23" spans="1:21" x14ac:dyDescent="0.2">
      <c r="A23" s="3" t="s">
        <v>2</v>
      </c>
      <c r="B23" s="3"/>
      <c r="C23" s="3"/>
      <c r="D23" s="3"/>
      <c r="E23" s="3"/>
      <c r="F23" s="3"/>
      <c r="G23" s="14"/>
      <c r="H23" s="3"/>
      <c r="I23" s="3"/>
      <c r="J23" s="3"/>
      <c r="K23" s="3"/>
      <c r="L23" s="3"/>
      <c r="M23" s="14"/>
      <c r="N23" s="24"/>
      <c r="O23" s="16"/>
    </row>
    <row r="24" spans="1:21" s="4" customFormat="1" x14ac:dyDescent="0.2">
      <c r="A24" s="74" t="s">
        <v>32</v>
      </c>
      <c r="B24" s="74"/>
      <c r="C24" s="74"/>
      <c r="D24" s="74"/>
      <c r="E24" s="74"/>
      <c r="F24" s="4" t="s">
        <v>5</v>
      </c>
      <c r="H24" s="4">
        <f>4*1500</f>
        <v>6000</v>
      </c>
      <c r="K24"/>
      <c r="L24" s="8">
        <f>SUM(H24:K24)</f>
        <v>6000</v>
      </c>
      <c r="M24" s="8"/>
      <c r="N24" s="36"/>
      <c r="O24" s="19"/>
    </row>
    <row r="25" spans="1:21" s="4" customFormat="1" ht="30.5" customHeight="1" x14ac:dyDescent="0.2">
      <c r="A25" s="74"/>
      <c r="B25" s="74"/>
      <c r="C25" s="74"/>
      <c r="D25" s="74"/>
      <c r="E25" s="74"/>
      <c r="F25" s="4" t="s">
        <v>6</v>
      </c>
      <c r="H25" s="4">
        <f>12*150</f>
        <v>1800</v>
      </c>
      <c r="I25" s="4">
        <f t="shared" ref="I25:J25" si="1">12*150</f>
        <v>1800</v>
      </c>
      <c r="J25" s="4">
        <f t="shared" si="1"/>
        <v>1800</v>
      </c>
      <c r="K25"/>
      <c r="L25" s="8">
        <f>SUM(H25:K25)</f>
        <v>5400</v>
      </c>
      <c r="M25" s="8"/>
      <c r="N25" s="36"/>
      <c r="O25" s="36"/>
      <c r="P25" s="36"/>
    </row>
    <row r="26" spans="1:21" x14ac:dyDescent="0.2">
      <c r="A26" s="3" t="s">
        <v>20</v>
      </c>
      <c r="B26" s="3"/>
      <c r="C26" s="3"/>
      <c r="D26" s="3"/>
      <c r="E26" s="3"/>
      <c r="F26" s="3"/>
      <c r="G26" s="14"/>
      <c r="H26" s="3"/>
      <c r="I26" s="3"/>
      <c r="J26" s="3"/>
      <c r="K26" s="3"/>
      <c r="L26" s="3"/>
      <c r="M26" s="14"/>
      <c r="N26" s="24"/>
      <c r="O26" s="24"/>
      <c r="P26" s="24"/>
    </row>
    <row r="27" spans="1:21" ht="23" customHeight="1" x14ac:dyDescent="0.2">
      <c r="A27" s="20" t="s">
        <v>25</v>
      </c>
      <c r="B27" s="20"/>
      <c r="C27" s="20"/>
      <c r="D27" s="20"/>
      <c r="E27" s="20"/>
      <c r="F27" s="21" t="s">
        <v>24</v>
      </c>
      <c r="G27" s="21"/>
      <c r="H27" s="20">
        <f>500*6</f>
        <v>3000</v>
      </c>
      <c r="I27" s="20">
        <f t="shared" ref="I27:J27" si="2">500*6</f>
        <v>3000</v>
      </c>
      <c r="J27" s="20">
        <f t="shared" si="2"/>
        <v>3000</v>
      </c>
      <c r="K27" s="20"/>
      <c r="L27" s="22">
        <f>SUM(H27:J27)</f>
        <v>9000</v>
      </c>
      <c r="M27" s="22"/>
      <c r="N27" s="24"/>
      <c r="O27" s="24"/>
      <c r="P27" s="24"/>
    </row>
    <row r="28" spans="1:21" x14ac:dyDescent="0.2">
      <c r="A28" s="3" t="s">
        <v>7</v>
      </c>
      <c r="B28" s="3"/>
      <c r="C28" s="3"/>
      <c r="D28" s="3"/>
      <c r="E28" s="3"/>
      <c r="F28" s="3"/>
      <c r="G28" s="14"/>
      <c r="H28" s="3"/>
      <c r="I28" s="3"/>
      <c r="J28" s="3"/>
      <c r="K28" s="3"/>
      <c r="L28" s="3"/>
      <c r="M28" s="14"/>
      <c r="N28" s="24"/>
      <c r="O28" s="16"/>
    </row>
    <row r="29" spans="1:21" ht="19.25" customHeight="1" x14ac:dyDescent="0.2">
      <c r="A29" s="72" t="s">
        <v>21</v>
      </c>
      <c r="B29" s="72"/>
      <c r="C29" s="72"/>
      <c r="D29" s="72"/>
      <c r="E29" s="72"/>
      <c r="F29" t="s">
        <v>12</v>
      </c>
      <c r="H29">
        <v>12</v>
      </c>
      <c r="I29">
        <v>8</v>
      </c>
      <c r="J29">
        <v>6</v>
      </c>
      <c r="K29">
        <f>SUM(H29:J29)</f>
        <v>26</v>
      </c>
      <c r="L29" s="9">
        <f>K29*1200</f>
        <v>31200</v>
      </c>
      <c r="M29" s="9"/>
      <c r="N29" s="36"/>
      <c r="O29" s="19"/>
      <c r="P29" s="4"/>
      <c r="Q29" s="4"/>
      <c r="R29" s="4"/>
      <c r="S29" s="4"/>
      <c r="T29" s="4"/>
      <c r="U29" s="4"/>
    </row>
    <row r="30" spans="1:21" ht="19.25" customHeight="1" x14ac:dyDescent="0.2">
      <c r="A30" s="72"/>
      <c r="B30" s="72"/>
      <c r="C30" s="72"/>
      <c r="D30" s="72"/>
      <c r="E30" s="72"/>
      <c r="F30" t="s">
        <v>11</v>
      </c>
      <c r="H30">
        <v>3</v>
      </c>
      <c r="I30">
        <v>2</v>
      </c>
      <c r="J30">
        <v>2</v>
      </c>
      <c r="K30">
        <f>SUM(H30:J30)</f>
        <v>7</v>
      </c>
      <c r="L30" s="9">
        <f>K30*700</f>
        <v>4900</v>
      </c>
      <c r="M30" s="9"/>
      <c r="N30" s="24"/>
      <c r="O30" s="17"/>
    </row>
    <row r="31" spans="1:21" ht="19.25" customHeight="1" x14ac:dyDescent="0.2">
      <c r="A31" s="72"/>
      <c r="B31" s="72"/>
      <c r="C31" s="72"/>
      <c r="D31" s="72"/>
      <c r="E31" s="72"/>
      <c r="F31" t="s">
        <v>8</v>
      </c>
      <c r="L31" s="9"/>
      <c r="M31" s="9"/>
      <c r="N31" s="24"/>
      <c r="O31" s="17"/>
    </row>
    <row r="32" spans="1:21" x14ac:dyDescent="0.2">
      <c r="A32" s="69" t="s">
        <v>52</v>
      </c>
      <c r="B32" s="69"/>
      <c r="C32" s="69"/>
      <c r="D32" s="69"/>
      <c r="E32" s="69"/>
      <c r="F32" s="69"/>
      <c r="G32" s="69"/>
      <c r="H32" s="69"/>
      <c r="I32" s="69"/>
      <c r="J32" s="69"/>
      <c r="K32" s="69"/>
      <c r="L32" s="3"/>
      <c r="M32" s="14"/>
      <c r="N32" s="24"/>
      <c r="O32" s="16"/>
    </row>
    <row r="33" spans="1:19" ht="63" customHeight="1" x14ac:dyDescent="0.2">
      <c r="A33" s="72" t="s">
        <v>28</v>
      </c>
      <c r="B33" s="72"/>
      <c r="C33" s="72"/>
      <c r="D33" s="72"/>
      <c r="E33" s="72"/>
      <c r="F33" t="s">
        <v>9</v>
      </c>
      <c r="H33" s="8">
        <f>3500*8</f>
        <v>28000</v>
      </c>
      <c r="I33" s="8">
        <f>3500*8</f>
        <v>28000</v>
      </c>
      <c r="J33" s="8">
        <f>3500*8</f>
        <v>28000</v>
      </c>
      <c r="L33" s="8">
        <f>SUM(H33:J33)</f>
        <v>84000</v>
      </c>
      <c r="M33" s="8"/>
      <c r="N33" s="24"/>
      <c r="O33" s="17"/>
    </row>
    <row r="34" spans="1:19" ht="16" x14ac:dyDescent="0.2">
      <c r="A34" s="26" t="s">
        <v>29</v>
      </c>
      <c r="B34" s="6"/>
      <c r="C34" s="6"/>
      <c r="D34" s="6"/>
      <c r="E34" s="6"/>
      <c r="F34" s="12"/>
      <c r="G34" s="25">
        <f>SUM(L36:L41)</f>
        <v>228000</v>
      </c>
      <c r="H34" s="6"/>
      <c r="I34" s="6"/>
      <c r="J34" s="6"/>
      <c r="K34" s="6"/>
      <c r="L34" s="10"/>
      <c r="M34" s="12"/>
      <c r="N34" s="24"/>
      <c r="O34" s="16"/>
    </row>
    <row r="35" spans="1:19" x14ac:dyDescent="0.2">
      <c r="A35" s="3" t="s">
        <v>4</v>
      </c>
      <c r="B35" s="3"/>
      <c r="C35" s="3"/>
      <c r="D35" s="3"/>
      <c r="E35" s="3"/>
      <c r="F35" s="3"/>
      <c r="G35" s="14"/>
      <c r="H35" s="3"/>
      <c r="I35" s="3"/>
      <c r="J35" s="3"/>
      <c r="K35" s="3"/>
      <c r="L35" s="3"/>
      <c r="M35" s="14"/>
      <c r="N35" s="24"/>
      <c r="O35" s="17"/>
    </row>
    <row r="36" spans="1:19" ht="33" customHeight="1" x14ac:dyDescent="0.2">
      <c r="A36" s="72" t="s">
        <v>26</v>
      </c>
      <c r="B36" s="72"/>
      <c r="C36" s="72"/>
      <c r="D36" s="72"/>
      <c r="E36" s="72"/>
      <c r="F36" t="s">
        <v>12</v>
      </c>
      <c r="H36">
        <v>30</v>
      </c>
      <c r="I36">
        <v>20</v>
      </c>
      <c r="J36">
        <v>10</v>
      </c>
      <c r="K36">
        <f t="shared" si="0"/>
        <v>60</v>
      </c>
      <c r="L36" s="9">
        <f>K36*1200</f>
        <v>72000</v>
      </c>
      <c r="M36" s="9"/>
      <c r="N36" s="24"/>
      <c r="O36" s="17"/>
    </row>
    <row r="37" spans="1:19" ht="33" customHeight="1" x14ac:dyDescent="0.2">
      <c r="A37" s="72"/>
      <c r="B37" s="72"/>
      <c r="C37" s="72"/>
      <c r="D37" s="72"/>
      <c r="E37" s="72"/>
      <c r="F37" t="s">
        <v>11</v>
      </c>
      <c r="H37">
        <v>30</v>
      </c>
      <c r="I37">
        <v>20</v>
      </c>
      <c r="J37">
        <v>10</v>
      </c>
      <c r="K37">
        <f>SUM(H37:J37)</f>
        <v>60</v>
      </c>
      <c r="L37" s="9">
        <f>K37*700</f>
        <v>42000</v>
      </c>
      <c r="M37" s="9"/>
      <c r="N37" s="24"/>
      <c r="O37" s="17"/>
    </row>
    <row r="38" spans="1:19" x14ac:dyDescent="0.2">
      <c r="A38" s="69" t="s">
        <v>27</v>
      </c>
      <c r="B38" s="69"/>
      <c r="C38" s="69"/>
      <c r="D38" s="69"/>
      <c r="E38" s="69"/>
      <c r="F38" s="69"/>
      <c r="G38" s="69"/>
      <c r="H38" s="69"/>
      <c r="I38" s="69"/>
      <c r="J38" s="69"/>
      <c r="K38" s="69"/>
      <c r="L38" s="3"/>
      <c r="M38" s="14"/>
      <c r="N38" s="24"/>
      <c r="O38" s="16"/>
    </row>
    <row r="39" spans="1:19" ht="50" customHeight="1" x14ac:dyDescent="0.2">
      <c r="A39" s="72" t="s">
        <v>33</v>
      </c>
      <c r="B39" s="72"/>
      <c r="C39" s="72"/>
      <c r="D39" s="72"/>
      <c r="E39" s="72"/>
      <c r="F39" s="7" t="s">
        <v>12</v>
      </c>
      <c r="G39" s="75" t="s">
        <v>49</v>
      </c>
      <c r="H39">
        <v>25</v>
      </c>
      <c r="I39">
        <v>20</v>
      </c>
      <c r="J39">
        <v>15</v>
      </c>
      <c r="K39">
        <f>SUM(H39:J39)</f>
        <v>60</v>
      </c>
      <c r="L39" s="9">
        <f>K39*1200</f>
        <v>72000</v>
      </c>
      <c r="M39" s="9"/>
      <c r="N39" s="24"/>
      <c r="O39" s="17"/>
    </row>
    <row r="40" spans="1:19" ht="50" customHeight="1" x14ac:dyDescent="0.2">
      <c r="A40" s="72"/>
      <c r="B40" s="72"/>
      <c r="C40" s="72"/>
      <c r="D40" s="72"/>
      <c r="E40" s="72"/>
      <c r="F40" s="7" t="s">
        <v>11</v>
      </c>
      <c r="G40" s="75"/>
      <c r="H40">
        <v>25</v>
      </c>
      <c r="I40">
        <v>20</v>
      </c>
      <c r="J40">
        <v>15</v>
      </c>
      <c r="K40">
        <f>SUM(H40:J40)</f>
        <v>60</v>
      </c>
      <c r="L40" s="9">
        <f>K40*700</f>
        <v>42000</v>
      </c>
      <c r="M40" s="9"/>
      <c r="N40" s="24"/>
      <c r="O40" s="17"/>
    </row>
    <row r="41" spans="1:19" ht="50" customHeight="1" x14ac:dyDescent="0.2">
      <c r="A41" s="72"/>
      <c r="B41" s="72"/>
      <c r="C41" s="72"/>
      <c r="D41" s="72"/>
      <c r="E41" s="72"/>
      <c r="F41" t="s">
        <v>8</v>
      </c>
      <c r="G41" s="75"/>
      <c r="N41" s="24"/>
      <c r="O41" s="17"/>
    </row>
    <row r="42" spans="1:19" ht="16" x14ac:dyDescent="0.2">
      <c r="A42" s="26" t="s">
        <v>15</v>
      </c>
      <c r="B42" s="10"/>
      <c r="C42" s="10"/>
      <c r="D42" s="10"/>
      <c r="E42" s="10"/>
      <c r="F42" s="10"/>
      <c r="G42" s="25">
        <f>SUM(L44:L50)</f>
        <v>33000</v>
      </c>
      <c r="H42" s="10"/>
      <c r="I42" s="10"/>
      <c r="J42" s="10"/>
      <c r="K42" s="10"/>
      <c r="L42" s="10"/>
      <c r="M42" s="12"/>
      <c r="N42" s="24"/>
      <c r="O42" s="16"/>
    </row>
    <row r="43" spans="1:19" x14ac:dyDescent="0.2">
      <c r="A43" s="69" t="s">
        <v>16</v>
      </c>
      <c r="B43" s="69"/>
      <c r="C43" s="69"/>
      <c r="D43" s="69"/>
      <c r="E43" s="69"/>
      <c r="F43" s="69"/>
      <c r="G43" s="69"/>
      <c r="H43" s="69"/>
      <c r="I43" s="69"/>
      <c r="J43" s="69"/>
      <c r="K43" s="69"/>
      <c r="L43" s="3"/>
      <c r="M43" s="14"/>
      <c r="N43" s="24"/>
      <c r="O43" s="17"/>
    </row>
    <row r="44" spans="1:19" ht="32" customHeight="1" x14ac:dyDescent="0.2">
      <c r="A44" s="68" t="s">
        <v>38</v>
      </c>
      <c r="B44" s="68"/>
      <c r="C44" s="68"/>
      <c r="D44" s="68"/>
      <c r="E44" s="68"/>
      <c r="F44" t="s">
        <v>12</v>
      </c>
      <c r="H44">
        <v>10</v>
      </c>
      <c r="I44">
        <v>0</v>
      </c>
      <c r="J44">
        <v>0</v>
      </c>
      <c r="K44">
        <f t="shared" ref="K44" si="3">SUM(H44:J44)</f>
        <v>10</v>
      </c>
      <c r="L44" s="9">
        <f>K44*1200</f>
        <v>12000</v>
      </c>
      <c r="M44" s="9"/>
      <c r="N44" s="24"/>
      <c r="O44" s="17"/>
    </row>
    <row r="45" spans="1:19" ht="32" customHeight="1" x14ac:dyDescent="0.2">
      <c r="A45" s="68"/>
      <c r="B45" s="68"/>
      <c r="C45" s="68"/>
      <c r="D45" s="68"/>
      <c r="E45" s="68"/>
      <c r="F45" t="s">
        <v>11</v>
      </c>
      <c r="H45">
        <v>6</v>
      </c>
      <c r="I45">
        <v>3</v>
      </c>
      <c r="J45">
        <v>3</v>
      </c>
      <c r="K45">
        <f>SUM(H45:J45)</f>
        <v>12</v>
      </c>
      <c r="L45" s="9">
        <f>K45*700</f>
        <v>8400</v>
      </c>
      <c r="M45" s="9"/>
      <c r="N45" s="24"/>
      <c r="O45" s="17"/>
    </row>
    <row r="46" spans="1:19" ht="32" customHeight="1" x14ac:dyDescent="0.2">
      <c r="A46" s="68"/>
      <c r="B46" s="68"/>
      <c r="C46" s="68"/>
      <c r="D46" s="68"/>
      <c r="E46" s="68"/>
      <c r="F46" s="15" t="s">
        <v>37</v>
      </c>
      <c r="G46" s="23">
        <v>25</v>
      </c>
      <c r="H46">
        <f>2*3*G46*$D$74</f>
        <v>15000</v>
      </c>
      <c r="I46">
        <f>3*G46*$D$74</f>
        <v>7500</v>
      </c>
      <c r="J46">
        <f>3*G46*$D$74</f>
        <v>7500</v>
      </c>
      <c r="M46" s="24">
        <f>SUM(H46:J46)</f>
        <v>30000</v>
      </c>
      <c r="N46" s="24">
        <v>30000</v>
      </c>
      <c r="O46" s="17"/>
    </row>
    <row r="47" spans="1:19" x14ac:dyDescent="0.2">
      <c r="A47" s="69" t="s">
        <v>18</v>
      </c>
      <c r="B47" s="69"/>
      <c r="C47" s="69"/>
      <c r="D47" s="69"/>
      <c r="E47" s="69"/>
      <c r="F47" s="69"/>
      <c r="G47" s="69"/>
      <c r="H47" s="69"/>
      <c r="I47" s="69"/>
      <c r="J47" s="69"/>
      <c r="K47" s="69"/>
      <c r="L47" s="3"/>
      <c r="M47" s="14"/>
      <c r="N47" s="24"/>
      <c r="O47" s="16"/>
    </row>
    <row r="48" spans="1:19" ht="22.25" customHeight="1" x14ac:dyDescent="0.2">
      <c r="A48" s="70" t="s">
        <v>44</v>
      </c>
      <c r="B48" s="70"/>
      <c r="C48" s="70"/>
      <c r="D48" s="70"/>
      <c r="E48" s="70"/>
      <c r="F48" s="4" t="s">
        <v>11</v>
      </c>
      <c r="G48" s="4"/>
      <c r="H48" s="4">
        <v>10</v>
      </c>
      <c r="I48" s="4">
        <v>5</v>
      </c>
      <c r="J48" s="4">
        <v>3</v>
      </c>
      <c r="K48" s="4">
        <f>SUM(H48:J48)</f>
        <v>18</v>
      </c>
      <c r="L48" s="11">
        <f>K48*700</f>
        <v>12600</v>
      </c>
      <c r="M48" s="11"/>
      <c r="N48" s="36"/>
      <c r="O48" s="17"/>
      <c r="P48" s="4"/>
      <c r="Q48" s="4"/>
      <c r="R48" s="4"/>
      <c r="S48" s="4"/>
    </row>
    <row r="49" spans="1:19" ht="22.25" customHeight="1" x14ac:dyDescent="0.2">
      <c r="A49" s="70"/>
      <c r="B49" s="70"/>
      <c r="C49" s="70"/>
      <c r="D49" s="70"/>
      <c r="E49" s="70"/>
      <c r="F49" s="68" t="s">
        <v>37</v>
      </c>
      <c r="G49" t="s">
        <v>41</v>
      </c>
      <c r="H49" s="4"/>
      <c r="I49" s="4"/>
      <c r="J49" s="4"/>
      <c r="K49" s="4"/>
      <c r="L49" s="11"/>
      <c r="M49" s="11"/>
      <c r="N49" s="36"/>
      <c r="O49" s="17"/>
      <c r="P49" s="4"/>
      <c r="Q49" s="4"/>
      <c r="R49" s="4"/>
      <c r="S49" s="4"/>
    </row>
    <row r="50" spans="1:19" ht="22.25" customHeight="1" x14ac:dyDescent="0.2">
      <c r="A50" s="70"/>
      <c r="B50" s="70"/>
      <c r="C50" s="70"/>
      <c r="D50" s="70"/>
      <c r="E50" s="70"/>
      <c r="F50" s="68"/>
      <c r="G50" s="7">
        <f>D75</f>
        <v>1000</v>
      </c>
      <c r="H50" s="4">
        <f>3*G50*D74</f>
        <v>300000</v>
      </c>
      <c r="I50" s="4">
        <f>3*G50*D74</f>
        <v>300000</v>
      </c>
      <c r="J50" s="4">
        <f>3*G50*D74</f>
        <v>300000</v>
      </c>
      <c r="K50" s="4"/>
      <c r="M50" s="24">
        <f>SUM(H50:J50)</f>
        <v>900000</v>
      </c>
      <c r="N50" s="36">
        <v>450000</v>
      </c>
      <c r="O50" s="17"/>
      <c r="P50" s="4"/>
      <c r="Q50" s="4"/>
      <c r="R50" s="4"/>
      <c r="S50" s="4"/>
    </row>
    <row r="51" spans="1:19" ht="16" x14ac:dyDescent="0.2">
      <c r="A51" s="26" t="s">
        <v>50</v>
      </c>
      <c r="B51" s="6"/>
      <c r="C51" s="6"/>
      <c r="D51" s="6"/>
      <c r="E51" s="6"/>
      <c r="F51" s="6"/>
      <c r="G51" s="25">
        <f>SUM(L53:L54)</f>
        <v>50000</v>
      </c>
      <c r="H51" s="6"/>
      <c r="I51" s="6"/>
      <c r="J51" s="6"/>
      <c r="K51" s="6"/>
      <c r="L51" s="6"/>
      <c r="M51" s="13"/>
      <c r="N51" s="24">
        <v>52000</v>
      </c>
      <c r="O51" s="16"/>
    </row>
    <row r="52" spans="1:19" x14ac:dyDescent="0.2">
      <c r="A52" s="69" t="s">
        <v>17</v>
      </c>
      <c r="B52" s="69"/>
      <c r="C52" s="69"/>
      <c r="D52" s="69"/>
      <c r="E52" s="69"/>
      <c r="F52" s="69"/>
      <c r="G52" s="69"/>
      <c r="H52" s="69"/>
      <c r="I52" s="69"/>
      <c r="J52" s="69"/>
      <c r="K52" s="69">
        <f t="shared" si="0"/>
        <v>0</v>
      </c>
      <c r="L52" s="3"/>
      <c r="M52" s="14"/>
      <c r="N52" s="24"/>
      <c r="O52" s="17"/>
    </row>
    <row r="53" spans="1:19" x14ac:dyDescent="0.2">
      <c r="A53" s="67" t="s">
        <v>19</v>
      </c>
      <c r="B53" s="67"/>
      <c r="C53" s="67"/>
      <c r="D53" s="67"/>
      <c r="E53" s="67"/>
      <c r="F53" t="s">
        <v>60</v>
      </c>
      <c r="H53">
        <v>20000</v>
      </c>
      <c r="I53">
        <v>15000</v>
      </c>
      <c r="J53">
        <v>15000</v>
      </c>
      <c r="L53" s="9">
        <f>SUM(H53:J53)</f>
        <v>50000</v>
      </c>
      <c r="M53" s="9"/>
      <c r="N53" s="24"/>
      <c r="O53" s="17"/>
    </row>
    <row r="54" spans="1:19" x14ac:dyDescent="0.2">
      <c r="A54" s="67"/>
      <c r="B54" s="67"/>
      <c r="C54" s="67"/>
      <c r="D54" s="67"/>
      <c r="E54" s="67"/>
      <c r="F54" t="s">
        <v>30</v>
      </c>
      <c r="N54" s="24"/>
      <c r="O54" s="17"/>
    </row>
    <row r="55" spans="1:19" ht="16" x14ac:dyDescent="0.2">
      <c r="A55" s="26" t="s">
        <v>14</v>
      </c>
      <c r="B55" s="6"/>
      <c r="C55" s="6"/>
      <c r="D55" s="6"/>
      <c r="E55" s="6"/>
      <c r="F55" s="6"/>
      <c r="G55" s="25">
        <f>SUM(L57:L64)</f>
        <v>81800</v>
      </c>
      <c r="H55" s="6"/>
      <c r="I55" s="6"/>
      <c r="J55" s="6"/>
      <c r="K55" s="6"/>
      <c r="L55" s="6"/>
      <c r="M55" s="13"/>
      <c r="N55" s="24"/>
      <c r="O55" s="16"/>
      <c r="P55" s="27"/>
    </row>
    <row r="56" spans="1:19" x14ac:dyDescent="0.2">
      <c r="A56" s="69" t="s">
        <v>51</v>
      </c>
      <c r="B56" s="69"/>
      <c r="C56" s="69"/>
      <c r="D56" s="69"/>
      <c r="E56" s="69"/>
      <c r="F56" s="69"/>
      <c r="G56" s="69"/>
      <c r="H56" s="69"/>
      <c r="I56" s="69"/>
      <c r="J56" s="69"/>
      <c r="K56" s="69"/>
      <c r="L56" s="3"/>
      <c r="M56" s="14"/>
      <c r="N56" s="24"/>
    </row>
    <row r="57" spans="1:19" ht="20" customHeight="1" x14ac:dyDescent="0.2">
      <c r="A57" s="73" t="s">
        <v>31</v>
      </c>
      <c r="B57" s="73"/>
      <c r="C57" s="73"/>
      <c r="D57" s="73"/>
      <c r="E57" s="73"/>
      <c r="F57" t="s">
        <v>12</v>
      </c>
      <c r="I57">
        <v>12</v>
      </c>
      <c r="J57">
        <v>4</v>
      </c>
      <c r="K57">
        <f>SUM(I57:J57)</f>
        <v>16</v>
      </c>
      <c r="L57" s="9">
        <f>K57*1200</f>
        <v>19200</v>
      </c>
      <c r="M57" s="9"/>
      <c r="N57" s="24"/>
      <c r="O57" s="17"/>
    </row>
    <row r="58" spans="1:19" ht="20" customHeight="1" x14ac:dyDescent="0.2">
      <c r="A58" s="73"/>
      <c r="B58" s="73"/>
      <c r="C58" s="73"/>
      <c r="D58" s="73"/>
      <c r="E58" s="73"/>
      <c r="F58" t="s">
        <v>11</v>
      </c>
      <c r="I58">
        <v>6</v>
      </c>
      <c r="J58">
        <v>2</v>
      </c>
      <c r="K58">
        <f>SUM(I58:J58)</f>
        <v>8</v>
      </c>
      <c r="L58" s="9">
        <f>K58*700</f>
        <v>5600</v>
      </c>
      <c r="M58" s="9"/>
      <c r="N58" s="24"/>
      <c r="O58" s="17"/>
    </row>
    <row r="59" spans="1:19" ht="20" customHeight="1" x14ac:dyDescent="0.2">
      <c r="A59" s="73"/>
      <c r="B59" s="73"/>
      <c r="C59" s="73"/>
      <c r="D59" s="73"/>
      <c r="E59" s="73"/>
      <c r="F59" s="68" t="s">
        <v>37</v>
      </c>
      <c r="G59" t="s">
        <v>41</v>
      </c>
      <c r="L59" s="9"/>
      <c r="M59" s="9"/>
      <c r="N59" s="24"/>
      <c r="O59" s="17"/>
    </row>
    <row r="60" spans="1:19" ht="20" customHeight="1" x14ac:dyDescent="0.2">
      <c r="A60" s="73"/>
      <c r="B60" s="73"/>
      <c r="C60" s="73"/>
      <c r="D60" s="73"/>
      <c r="E60" s="73"/>
      <c r="F60" s="68"/>
      <c r="G60" s="7">
        <f>D76</f>
        <v>100</v>
      </c>
      <c r="I60">
        <f>2*G60*D74</f>
        <v>20000</v>
      </c>
      <c r="J60">
        <f>2*G60*D74</f>
        <v>20000</v>
      </c>
      <c r="M60" s="24">
        <f>SUM(H60:J60)</f>
        <v>40000</v>
      </c>
      <c r="N60" s="24">
        <v>40000</v>
      </c>
      <c r="O60" s="17"/>
    </row>
    <row r="61" spans="1:19" x14ac:dyDescent="0.2">
      <c r="A61" s="69" t="s">
        <v>58</v>
      </c>
      <c r="B61" s="69"/>
      <c r="C61" s="69"/>
      <c r="D61" s="69"/>
      <c r="E61" s="69"/>
      <c r="F61" s="69"/>
      <c r="G61" s="69"/>
      <c r="H61" s="69"/>
      <c r="I61" s="69"/>
      <c r="J61" s="69"/>
      <c r="K61" s="69">
        <f t="shared" si="0"/>
        <v>0</v>
      </c>
      <c r="L61" s="3"/>
      <c r="M61" s="14"/>
      <c r="O61" s="16"/>
    </row>
    <row r="62" spans="1:19" ht="19.25" customHeight="1" x14ac:dyDescent="0.2">
      <c r="A62" s="72" t="s">
        <v>59</v>
      </c>
      <c r="B62" s="72"/>
      <c r="C62" s="72"/>
      <c r="D62" s="72"/>
      <c r="E62" s="72"/>
      <c r="F62" t="s">
        <v>12</v>
      </c>
      <c r="H62">
        <v>10</v>
      </c>
      <c r="I62">
        <v>10</v>
      </c>
      <c r="J62">
        <v>10</v>
      </c>
      <c r="K62">
        <f t="shared" ref="K62" si="4">SUM(H62:J62)</f>
        <v>30</v>
      </c>
      <c r="L62" s="9">
        <f>K62*1200</f>
        <v>36000</v>
      </c>
    </row>
    <row r="63" spans="1:19" ht="19.25" customHeight="1" x14ac:dyDescent="0.2">
      <c r="A63" s="72"/>
      <c r="B63" s="72"/>
      <c r="C63" s="72"/>
      <c r="D63" s="72"/>
      <c r="E63" s="72"/>
      <c r="F63" t="s">
        <v>11</v>
      </c>
      <c r="H63">
        <v>10</v>
      </c>
      <c r="I63">
        <v>10</v>
      </c>
      <c r="J63">
        <v>10</v>
      </c>
      <c r="K63">
        <f>SUM(H63:J63)</f>
        <v>30</v>
      </c>
      <c r="L63" s="9">
        <f>K63*700</f>
        <v>21000</v>
      </c>
    </row>
    <row r="64" spans="1:19" ht="23" customHeight="1" x14ac:dyDescent="0.2">
      <c r="A64" s="72"/>
      <c r="B64" s="72"/>
      <c r="C64" s="72"/>
      <c r="D64" s="72"/>
      <c r="E64" s="72"/>
      <c r="F64" t="s">
        <v>8</v>
      </c>
    </row>
    <row r="65" spans="1:13" x14ac:dyDescent="0.2">
      <c r="A65" s="20"/>
      <c r="B65" s="20"/>
      <c r="C65" s="20"/>
      <c r="D65" s="20"/>
    </row>
    <row r="67" spans="1:13" ht="21" x14ac:dyDescent="0.25">
      <c r="F67" s="31" t="s">
        <v>57</v>
      </c>
      <c r="G67" s="31"/>
      <c r="H67" s="31"/>
      <c r="I67" s="31"/>
      <c r="J67" s="31"/>
      <c r="K67" s="31"/>
      <c r="L67" s="31"/>
      <c r="M67" s="32">
        <f>SUM(L34:L66)+L29+L30-L53+L21+L22</f>
        <v>400400</v>
      </c>
    </row>
    <row r="68" spans="1:13" ht="21" x14ac:dyDescent="0.25">
      <c r="F68" s="31" t="s">
        <v>75</v>
      </c>
      <c r="G68" s="31"/>
      <c r="H68" s="31"/>
      <c r="I68" s="31"/>
      <c r="J68" s="31"/>
      <c r="K68" s="31"/>
      <c r="L68" s="31"/>
      <c r="M68" s="32">
        <f>L53</f>
        <v>50000</v>
      </c>
    </row>
    <row r="69" spans="1:13" ht="21" x14ac:dyDescent="0.25">
      <c r="F69" s="31" t="s">
        <v>56</v>
      </c>
      <c r="G69" s="31"/>
      <c r="H69" s="31"/>
      <c r="I69" s="31"/>
      <c r="J69" s="31"/>
      <c r="K69" s="31"/>
      <c r="L69" s="31"/>
      <c r="M69" s="32">
        <f>L20+L24+L25+L27+L33</f>
        <v>344400</v>
      </c>
    </row>
    <row r="70" spans="1:13" ht="21" x14ac:dyDescent="0.25">
      <c r="F70" s="31" t="s">
        <v>45</v>
      </c>
      <c r="G70" s="31"/>
      <c r="H70" s="31"/>
      <c r="I70" s="31"/>
      <c r="J70" s="31"/>
      <c r="K70" s="31"/>
      <c r="L70" s="31"/>
      <c r="M70" s="32">
        <f>SUM(M20:M65)</f>
        <v>970000</v>
      </c>
    </row>
    <row r="71" spans="1:13" ht="21" x14ac:dyDescent="0.25">
      <c r="F71" s="33" t="s">
        <v>76</v>
      </c>
      <c r="G71" s="33"/>
      <c r="H71" s="33"/>
      <c r="I71" s="33"/>
      <c r="J71" s="33"/>
      <c r="K71" s="33"/>
      <c r="L71" s="34"/>
      <c r="M71" s="32">
        <f>SUM(M67:M70)</f>
        <v>1764800</v>
      </c>
    </row>
    <row r="73" spans="1:13" x14ac:dyDescent="0.2">
      <c r="A73" s="17" t="s">
        <v>39</v>
      </c>
    </row>
    <row r="74" spans="1:13" ht="47.25" customHeight="1" x14ac:dyDescent="0.25">
      <c r="A74" s="66" t="s">
        <v>40</v>
      </c>
      <c r="B74" s="66"/>
      <c r="C74" s="66"/>
      <c r="D74" s="28">
        <v>100</v>
      </c>
      <c r="E74" t="s">
        <v>46</v>
      </c>
      <c r="F74" s="33" t="s">
        <v>53</v>
      </c>
      <c r="G74" s="33"/>
      <c r="H74" s="33"/>
      <c r="I74" s="33"/>
      <c r="J74" s="33"/>
      <c r="K74" s="33"/>
      <c r="L74" s="33"/>
      <c r="M74" s="32">
        <f>SUM(N18:N63)</f>
        <v>572000</v>
      </c>
    </row>
    <row r="75" spans="1:13" ht="26" customHeight="1" x14ac:dyDescent="0.25">
      <c r="A75" s="63" t="s">
        <v>47</v>
      </c>
      <c r="B75" s="63"/>
      <c r="C75" s="63"/>
      <c r="D75" s="29">
        <v>1000</v>
      </c>
      <c r="E75" t="s">
        <v>46</v>
      </c>
      <c r="F75" s="33" t="s">
        <v>54</v>
      </c>
      <c r="G75" s="33"/>
      <c r="H75" s="33"/>
      <c r="I75" s="33"/>
      <c r="J75" s="33"/>
      <c r="K75" s="33"/>
      <c r="L75" s="33"/>
      <c r="M75" s="32">
        <f>M71-M74</f>
        <v>1192800</v>
      </c>
    </row>
    <row r="76" spans="1:13" ht="28.25" customHeight="1" x14ac:dyDescent="0.2">
      <c r="A76" s="64" t="s">
        <v>48</v>
      </c>
      <c r="B76" s="64"/>
      <c r="C76" s="64"/>
      <c r="D76" s="30">
        <v>100</v>
      </c>
      <c r="E76" t="s">
        <v>46</v>
      </c>
    </row>
    <row r="77" spans="1:13" x14ac:dyDescent="0.2">
      <c r="A77" s="64" t="s">
        <v>79</v>
      </c>
      <c r="B77" s="64"/>
      <c r="C77" s="64"/>
      <c r="D77" s="41">
        <v>2000</v>
      </c>
      <c r="E77" t="s">
        <v>46</v>
      </c>
    </row>
  </sheetData>
  <mergeCells count="43">
    <mergeCell ref="A1:N1"/>
    <mergeCell ref="A16:F17"/>
    <mergeCell ref="G16:G17"/>
    <mergeCell ref="F61:K61"/>
    <mergeCell ref="A32:E32"/>
    <mergeCell ref="A39:E41"/>
    <mergeCell ref="F38:K38"/>
    <mergeCell ref="A24:E25"/>
    <mergeCell ref="A18:E18"/>
    <mergeCell ref="A33:E33"/>
    <mergeCell ref="F32:K32"/>
    <mergeCell ref="L16:L17"/>
    <mergeCell ref="M16:M17"/>
    <mergeCell ref="A77:C77"/>
    <mergeCell ref="N16:N17"/>
    <mergeCell ref="A62:E64"/>
    <mergeCell ref="A56:E56"/>
    <mergeCell ref="F56:K56"/>
    <mergeCell ref="A57:E60"/>
    <mergeCell ref="A20:E22"/>
    <mergeCell ref="A36:E37"/>
    <mergeCell ref="A61:E61"/>
    <mergeCell ref="A52:E52"/>
    <mergeCell ref="A29:E31"/>
    <mergeCell ref="A38:E38"/>
    <mergeCell ref="A43:E43"/>
    <mergeCell ref="A47:E47"/>
    <mergeCell ref="G39:G41"/>
    <mergeCell ref="K16:K17"/>
    <mergeCell ref="A75:C75"/>
    <mergeCell ref="A76:C76"/>
    <mergeCell ref="H16:H17"/>
    <mergeCell ref="I16:I17"/>
    <mergeCell ref="J16:J17"/>
    <mergeCell ref="A74:C74"/>
    <mergeCell ref="A53:E54"/>
    <mergeCell ref="F49:F50"/>
    <mergeCell ref="F59:F60"/>
    <mergeCell ref="F47:K47"/>
    <mergeCell ref="A48:E50"/>
    <mergeCell ref="F52:K52"/>
    <mergeCell ref="A44:E46"/>
    <mergeCell ref="F43:K4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zoomScale="120" zoomScaleNormal="120" zoomScalePageLayoutView="120" workbookViewId="0">
      <selection activeCell="L10" sqref="L10"/>
    </sheetView>
  </sheetViews>
  <sheetFormatPr baseColWidth="10" defaultColWidth="8.83203125" defaultRowHeight="15" x14ac:dyDescent="0.2"/>
  <cols>
    <col min="1" max="1" width="30.6640625" customWidth="1"/>
    <col min="8" max="8" width="12.83203125" customWidth="1"/>
  </cols>
  <sheetData>
    <row r="2" spans="1:8" x14ac:dyDescent="0.2">
      <c r="B2" s="80" t="s">
        <v>61</v>
      </c>
      <c r="C2" s="81"/>
      <c r="D2" s="81" t="s">
        <v>62</v>
      </c>
      <c r="E2" s="81"/>
      <c r="F2" s="81" t="s">
        <v>63</v>
      </c>
      <c r="G2" s="82"/>
    </row>
    <row r="3" spans="1:8" s="2" customFormat="1" x14ac:dyDescent="0.2">
      <c r="A3" s="59"/>
      <c r="B3" s="49" t="s">
        <v>64</v>
      </c>
      <c r="C3" s="49" t="s">
        <v>65</v>
      </c>
      <c r="D3" s="49" t="s">
        <v>64</v>
      </c>
      <c r="E3" s="49" t="s">
        <v>65</v>
      </c>
      <c r="F3" s="49" t="s">
        <v>64</v>
      </c>
      <c r="G3" s="49" t="s">
        <v>65</v>
      </c>
      <c r="H3" s="60" t="s">
        <v>74</v>
      </c>
    </row>
    <row r="4" spans="1:8" x14ac:dyDescent="0.2">
      <c r="A4" s="57" t="s">
        <v>80</v>
      </c>
      <c r="B4" s="37"/>
      <c r="C4" s="37"/>
      <c r="D4" s="37"/>
      <c r="E4" s="37"/>
      <c r="F4" s="37"/>
      <c r="G4" s="37"/>
      <c r="H4" s="58"/>
    </row>
    <row r="5" spans="1:8" x14ac:dyDescent="0.2">
      <c r="A5" s="42" t="s">
        <v>66</v>
      </c>
      <c r="B5" s="52">
        <f>Sheet1!H21+Sheet1!H22</f>
        <v>20</v>
      </c>
      <c r="C5" s="43">
        <f>(Sheet1!H20+Sheet1!H24+Sheet1!H25+Sheet1!H27+Sheet1!H33)</f>
        <v>86800</v>
      </c>
      <c r="D5" s="44"/>
      <c r="E5" s="45">
        <f>Sheet1!I20+Sheet1!I24+Sheet1!I25+Sheet1!I27+Sheet1!I33</f>
        <v>128800</v>
      </c>
      <c r="F5" s="44"/>
      <c r="G5" s="45">
        <f>Sheet1!J20+Sheet1!J24+Sheet1!J25+Sheet1!J27+Sheet1!J33</f>
        <v>128800</v>
      </c>
      <c r="H5" s="45">
        <f>C5+E5+G5</f>
        <v>344400</v>
      </c>
    </row>
    <row r="6" spans="1:8" x14ac:dyDescent="0.2">
      <c r="A6" t="s">
        <v>69</v>
      </c>
      <c r="B6" s="39">
        <f>SUM(Sheet1!H29:H30)+SUM(Sheet1!H36:H37)</f>
        <v>75</v>
      </c>
      <c r="C6" s="40">
        <f>(Sheet1!H29)*1200+(Sheet1!H30)*700+(Sheet1!H36)*1200+(Sheet1!H37)*700</f>
        <v>73500</v>
      </c>
      <c r="D6" s="39">
        <f>SUM(Sheet1!I29:I30)+SUM(Sheet1!I36:I37)</f>
        <v>50</v>
      </c>
      <c r="E6" s="40">
        <f>(Sheet1!I29)*1200+(Sheet1!I30)*700+(Sheet1!I36)*1200+(Sheet1!I37)*700</f>
        <v>49000</v>
      </c>
      <c r="F6" s="39">
        <f>SUM(Sheet1!J29:J30)+SUM(Sheet1!J36:J37)</f>
        <v>28</v>
      </c>
      <c r="G6" s="39">
        <f>(Sheet1!J29)*1200+(Sheet1!J30)*700+(Sheet1!J36)*1200+(Sheet1!J37)*700</f>
        <v>27600</v>
      </c>
      <c r="H6" s="40">
        <f t="shared" ref="H6:H15" si="0">C6+E6+G6</f>
        <v>150100</v>
      </c>
    </row>
    <row r="7" spans="1:8" x14ac:dyDescent="0.2">
      <c r="A7" t="s">
        <v>70</v>
      </c>
      <c r="B7" s="39">
        <f>Sheet1!H39+Sheet1!H40</f>
        <v>50</v>
      </c>
      <c r="C7" s="40">
        <f>(Sheet1!H39*1200)+(Sheet1!H40*700)</f>
        <v>47500</v>
      </c>
      <c r="D7" s="39">
        <f>Sheet1!I39+Sheet1!I40</f>
        <v>40</v>
      </c>
      <c r="E7" s="40">
        <f>(Sheet1!I39*1200)+(Sheet1!I40*700)</f>
        <v>38000</v>
      </c>
      <c r="F7" s="39">
        <f>Sheet1!J39+Sheet1!J40</f>
        <v>30</v>
      </c>
      <c r="G7" s="39">
        <f>(Sheet1!J39*1200)+(Sheet1!J40*700)</f>
        <v>28500</v>
      </c>
      <c r="H7" s="40">
        <f t="shared" si="0"/>
        <v>114000</v>
      </c>
    </row>
    <row r="8" spans="1:8" x14ac:dyDescent="0.2">
      <c r="A8" t="s">
        <v>68</v>
      </c>
      <c r="B8" s="39">
        <f>Sheet1!H44+Sheet1!H45+Sheet1!H48</f>
        <v>26</v>
      </c>
      <c r="C8" s="40">
        <f>Sheet1!H44*1200+Sheet1!H45*700+Sheet1!H48*700</f>
        <v>23200</v>
      </c>
      <c r="D8" s="39">
        <f>Sheet1!I44+Sheet1!I45+Sheet1!I48</f>
        <v>8</v>
      </c>
      <c r="E8" s="40">
        <f>Sheet1!I44*1200+Sheet1!I45*700+Sheet1!I48*700</f>
        <v>5600</v>
      </c>
      <c r="F8" s="39">
        <f>Sheet1!J44+Sheet1!J45+Sheet1!J48</f>
        <v>6</v>
      </c>
      <c r="G8" s="39">
        <f>Sheet1!J44*1200+Sheet1!J45*700+Sheet1!J48*700</f>
        <v>4200</v>
      </c>
      <c r="H8" s="40">
        <f t="shared" si="0"/>
        <v>33000</v>
      </c>
    </row>
    <row r="9" spans="1:8" x14ac:dyDescent="0.2">
      <c r="A9" t="s">
        <v>67</v>
      </c>
      <c r="B9" s="39">
        <f>Sheet1!H57+Sheet1!H58+Sheet1!H62+Sheet1!H63</f>
        <v>20</v>
      </c>
      <c r="C9" s="40">
        <f>Sheet1!H57*1200+Sheet1!H58*700+Sheet1!H62*1200+Sheet1!H63*700</f>
        <v>19000</v>
      </c>
      <c r="D9" s="39">
        <f>Sheet1!I57+Sheet1!I58+Sheet1!I62+Sheet1!I63</f>
        <v>38</v>
      </c>
      <c r="E9" s="40">
        <f>Sheet1!I57*1200+Sheet1!I58*700+Sheet1!I62*1200+Sheet1!I63*700</f>
        <v>37600</v>
      </c>
      <c r="F9" s="39">
        <f>Sheet1!J57+Sheet1!J58+Sheet1!J62+Sheet1!J63</f>
        <v>26</v>
      </c>
      <c r="G9" s="39">
        <f>Sheet1!J57*1200+Sheet1!J58*700+Sheet1!J62*1200+Sheet1!J63*700</f>
        <v>25200</v>
      </c>
      <c r="H9" s="40">
        <f t="shared" si="0"/>
        <v>81800</v>
      </c>
    </row>
    <row r="10" spans="1:8" s="38" customFormat="1" x14ac:dyDescent="0.2">
      <c r="A10" s="46" t="s">
        <v>71</v>
      </c>
      <c r="B10" s="47">
        <f>SUM(B5:B9)</f>
        <v>191</v>
      </c>
      <c r="C10" s="48">
        <f>SUM(C6:C9)+Sheet1!H21*1200+Sheet1!H22*700</f>
        <v>184700</v>
      </c>
      <c r="D10" s="47">
        <f t="shared" ref="D10:G10" si="1">SUM(D6:D9)</f>
        <v>136</v>
      </c>
      <c r="E10" s="48">
        <f t="shared" si="1"/>
        <v>130200</v>
      </c>
      <c r="F10" s="47">
        <f t="shared" si="1"/>
        <v>90</v>
      </c>
      <c r="G10" s="48">
        <f t="shared" si="1"/>
        <v>85500</v>
      </c>
      <c r="H10" s="48">
        <f t="shared" si="0"/>
        <v>400400</v>
      </c>
    </row>
    <row r="11" spans="1:8" x14ac:dyDescent="0.2">
      <c r="A11" s="46" t="s">
        <v>73</v>
      </c>
      <c r="B11" s="47"/>
      <c r="C11" s="48">
        <f>Sheet1!H53</f>
        <v>20000</v>
      </c>
      <c r="D11" s="47"/>
      <c r="E11" s="48">
        <f>Sheet1!I53</f>
        <v>15000</v>
      </c>
      <c r="F11" s="47"/>
      <c r="G11" s="48">
        <f>Sheet1!J53</f>
        <v>15000</v>
      </c>
      <c r="H11" s="48">
        <f t="shared" si="0"/>
        <v>50000</v>
      </c>
    </row>
    <row r="12" spans="1:8" x14ac:dyDescent="0.2">
      <c r="A12" s="49" t="s">
        <v>77</v>
      </c>
      <c r="B12" s="50"/>
      <c r="C12" s="51">
        <f>C5+C10+C11</f>
        <v>291500</v>
      </c>
      <c r="D12" s="50"/>
      <c r="E12" s="51">
        <f>E5+E10+E11</f>
        <v>274000</v>
      </c>
      <c r="F12" s="50"/>
      <c r="G12" s="51">
        <f>G5+G10+G11</f>
        <v>229300</v>
      </c>
      <c r="H12" s="51">
        <f t="shared" si="0"/>
        <v>794800</v>
      </c>
    </row>
    <row r="13" spans="1:8" x14ac:dyDescent="0.2">
      <c r="A13" s="42" t="s">
        <v>72</v>
      </c>
      <c r="B13" s="44"/>
      <c r="C13" s="45">
        <f>Sheet1!H46+Sheet1!H50+Sheet1!H60</f>
        <v>315000</v>
      </c>
      <c r="D13" s="44"/>
      <c r="E13" s="45">
        <f>Sheet1!I46+Sheet1!I50+Sheet1!I60</f>
        <v>327500</v>
      </c>
      <c r="F13" s="44"/>
      <c r="G13" s="45">
        <f>Sheet1!J46+Sheet1!J50+Sheet1!J60</f>
        <v>327500</v>
      </c>
      <c r="H13" s="45">
        <f t="shared" si="0"/>
        <v>970000</v>
      </c>
    </row>
    <row r="14" spans="1:8" x14ac:dyDescent="0.2">
      <c r="E14" s="9"/>
      <c r="H14" s="9"/>
    </row>
    <row r="15" spans="1:8" x14ac:dyDescent="0.2">
      <c r="A15" s="53" t="s">
        <v>78</v>
      </c>
      <c r="B15" s="54"/>
      <c r="C15" s="55">
        <f>C5+C10+C11+C13</f>
        <v>606500</v>
      </c>
      <c r="D15" s="54"/>
      <c r="E15" s="55">
        <f>E5+E10+E11+E13</f>
        <v>601500</v>
      </c>
      <c r="F15" s="54"/>
      <c r="G15" s="55">
        <f>G5+G10+G11+G13</f>
        <v>556800</v>
      </c>
      <c r="H15" s="56">
        <f t="shared" si="0"/>
        <v>1764800</v>
      </c>
    </row>
  </sheetData>
  <mergeCells count="3">
    <mergeCell ref="B2:C2"/>
    <mergeCell ref="D2:E2"/>
    <mergeCell ref="F2: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fa473315-44a4-4518-8a4f-31f7017f3642">FYACPHA5NQ3C-223202899-9</_dlc_DocId>
    <_dlc_DocIdUrl xmlns="fa473315-44a4-4518-8a4f-31f7017f3642">
      <Url>https://tgf.sharepoint.com/sites/TSGMT4/MHUB/_layouts/15/DocIdRedir.aspx?ID=FYACPHA5NQ3C-223202899-9</Url>
      <Description>FYACPHA5NQ3C-223202899-9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14768F94803F42BEA62C5B7969543DC70021AE61E5A8BC9146BA2BC09FF6F481EA" ma:contentTypeVersion="122" ma:contentTypeDescription="A Word document." ma:contentTypeScope="" ma:versionID="1f5099ab06b4175c1385da5ac44f13ce">
  <xsd:schema xmlns:xsd="http://www.w3.org/2001/XMLSchema" xmlns:xs="http://www.w3.org/2001/XMLSchema" xmlns:p="http://schemas.microsoft.com/office/2006/metadata/properties" xmlns:ns2="fa473315-44a4-4518-8a4f-31f7017f3642" targetNamespace="http://schemas.microsoft.com/office/2006/metadata/properties" ma:root="true" ma:fieldsID="25c2209c74d3d6604df27e8104edc4ec" ns2:_="">
    <xsd:import namespace="fa473315-44a4-4518-8a4f-31f7017f364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473315-44a4-4518-8a4f-31f7017f364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c097f1e6-5941-48e7-ac45-8c5509127d4f" ContentTypeId="0x01010014768F94803F42BEA62C5B7969543DC7" PreviousValue="false"/>
</file>

<file path=customXml/itemProps1.xml><?xml version="1.0" encoding="utf-8"?>
<ds:datastoreItem xmlns:ds="http://schemas.openxmlformats.org/officeDocument/2006/customXml" ds:itemID="{067D3AFE-418E-4B38-A367-6AB31E1A585B}">
  <ds:schemaRefs>
    <ds:schemaRef ds:uri="http://schemas.microsoft.com/sharepoint/v3/contenttype/forms"/>
  </ds:schemaRefs>
</ds:datastoreItem>
</file>

<file path=customXml/itemProps2.xml><?xml version="1.0" encoding="utf-8"?>
<ds:datastoreItem xmlns:ds="http://schemas.openxmlformats.org/officeDocument/2006/customXml" ds:itemID="{B9385A2B-D4CA-4BAF-A817-0DED7E3B6713}">
  <ds:schemaRefs>
    <ds:schemaRef ds:uri="http://schemas.microsoft.com/sharepoint/events"/>
  </ds:schemaRefs>
</ds:datastoreItem>
</file>

<file path=customXml/itemProps3.xml><?xml version="1.0" encoding="utf-8"?>
<ds:datastoreItem xmlns:ds="http://schemas.openxmlformats.org/officeDocument/2006/customXml" ds:itemID="{206665EA-5AA6-4C8C-9A8A-BA6AB79E19C3}">
  <ds:schemaRefs>
    <ds:schemaRef ds:uri="http://purl.org/dc/dcmitype/"/>
    <ds:schemaRef ds:uri="fa473315-44a4-4518-8a4f-31f7017f3642"/>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4D9794BC-78AC-4BEF-A76F-04D1FA2D4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473315-44a4-4518-8a4f-31f7017f36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D8B584B-946F-4CD7-937E-F50DAD4657F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Universitetet i Oslo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Karoline Tufte Lien</dc:creator>
  <cp:lastModifiedBy>Kevin Keen</cp:lastModifiedBy>
  <dcterms:created xsi:type="dcterms:W3CDTF">2017-01-23T08:40:30Z</dcterms:created>
  <dcterms:modified xsi:type="dcterms:W3CDTF">2017-06-15T14:25:01Z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0x01010014768F94803F42BEA62C5B7969543DC70021AE61E5A8BC9146BA2BC09FF6F481EA</vt:lpwstr>
  </property>
  <property fmtid="{D5CDD505-2E9C-101B-9397-08002B2CF9AE}" pid="3" name="_dlc_DocIdItemGuid">
    <vt:lpwstr>5ad40ed0-edf4-4504-9fcb-42e6fdc0a9fa</vt:lpwstr>
  </property>
</Properties>
</file>